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drawings/drawing4.xml" ContentType="application/vnd.openxmlformats-officedocument.drawing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5.xml" ContentType="application/vnd.openxmlformats-officedocument.drawing+xml"/>
  <Override PartName="/xl/charts/chart25.xml" ContentType="application/vnd.openxmlformats-officedocument.drawingml.chart+xml"/>
  <Override PartName="/xl/drawings/drawing6.xml" ContentType="application/vnd.openxmlformats-officedocument.drawing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drawings/drawing7.xml" ContentType="application/vnd.openxmlformats-officedocument.drawing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927"/>
  <workbookPr/>
  <mc:AlternateContent xmlns:mc="http://schemas.openxmlformats.org/markup-compatibility/2006">
    <mc:Choice Requires="x15">
      <x15ac:absPath xmlns:x15ac="http://schemas.microsoft.com/office/spreadsheetml/2010/11/ac" url="C:\Harkiolakis\Money\SCHOOL Des Ponts\COURSE Quan\Quan Book\"/>
    </mc:Choice>
  </mc:AlternateContent>
  <bookViews>
    <workbookView xWindow="0" yWindow="0" windowWidth="21435" windowHeight="16230" tabRatio="602" firstSheet="5"/>
  </bookViews>
  <sheets>
    <sheet name="Distributions" sheetId="2" r:id="rId1"/>
    <sheet name="Ranks ANOVA" sheetId="6" r:id="rId2"/>
    <sheet name="Storks" sheetId="5" r:id="rId3"/>
    <sheet name="chi-square" sheetId="8" r:id="rId4"/>
    <sheet name="Fisher" sheetId="9" r:id="rId5"/>
    <sheet name="3-way" sheetId="10" r:id="rId6"/>
    <sheet name="many samples" sheetId="11" r:id="rId7"/>
    <sheet name="Factors" sheetId="13" r:id="rId8"/>
    <sheet name="Cluster" sheetId="14" r:id="rId9"/>
    <sheet name="Series" sheetId="15" r:id="rId10"/>
    <sheet name="Decision" sheetId="16" r:id="rId11"/>
    <sheet name="Game" sheetId="17" r:id="rId12"/>
    <sheet name="Simulation" sheetId="18" r:id="rId13"/>
  </sheets>
  <definedNames>
    <definedName name="__xlchart.v3.0" hidden="1">#REF!</definedName>
    <definedName name="DDBA5551Assignment2Week4">#REF!</definedName>
  </definedNames>
  <calcPr calcId="171027"/>
</workbook>
</file>

<file path=xl/calcChain.xml><?xml version="1.0" encoding="utf-8"?>
<calcChain xmlns="http://schemas.openxmlformats.org/spreadsheetml/2006/main">
  <c r="J62" i="10" l="1"/>
  <c r="K64" i="10"/>
  <c r="I4" i="8"/>
  <c r="I6" i="8"/>
  <c r="H15" i="8"/>
  <c r="C12" i="18" l="1"/>
  <c r="D12" i="18"/>
  <c r="E12" i="18"/>
  <c r="J12" i="18"/>
  <c r="H12" i="18"/>
  <c r="I12" i="18"/>
  <c r="C13" i="18"/>
  <c r="H13" i="18"/>
  <c r="D13" i="18"/>
  <c r="I13" i="18"/>
  <c r="E13" i="18"/>
  <c r="J13" i="18"/>
  <c r="C14" i="18"/>
  <c r="H14" i="18"/>
  <c r="D14" i="18"/>
  <c r="I14" i="18"/>
  <c r="E14" i="18"/>
  <c r="J14" i="18"/>
  <c r="C15" i="18"/>
  <c r="H15" i="18"/>
  <c r="D15" i="18"/>
  <c r="I15" i="18"/>
  <c r="E15" i="18"/>
  <c r="J15" i="18"/>
  <c r="C16" i="18"/>
  <c r="D16" i="18"/>
  <c r="I16" i="18"/>
  <c r="E16" i="18"/>
  <c r="J16" i="18"/>
  <c r="H16" i="18"/>
  <c r="C17" i="18"/>
  <c r="H17" i="18"/>
  <c r="D17" i="18"/>
  <c r="E17" i="18"/>
  <c r="J17" i="18"/>
  <c r="I17" i="18"/>
  <c r="C18" i="18"/>
  <c r="D18" i="18"/>
  <c r="I18" i="18"/>
  <c r="E18" i="18"/>
  <c r="J18" i="18"/>
  <c r="H18" i="18"/>
  <c r="C19" i="18"/>
  <c r="D19" i="18"/>
  <c r="I19" i="18"/>
  <c r="E19" i="18"/>
  <c r="J19" i="18"/>
  <c r="H19" i="18"/>
  <c r="C20" i="18"/>
  <c r="H20" i="18"/>
  <c r="D20" i="18"/>
  <c r="I20" i="18"/>
  <c r="E20" i="18"/>
  <c r="J20" i="18"/>
  <c r="C21" i="18"/>
  <c r="H21" i="18"/>
  <c r="D21" i="18"/>
  <c r="E21" i="18"/>
  <c r="J21" i="18"/>
  <c r="I21" i="18"/>
  <c r="C22" i="18"/>
  <c r="H22" i="18"/>
  <c r="D22" i="18"/>
  <c r="I22" i="18"/>
  <c r="E22" i="18"/>
  <c r="J22" i="18"/>
  <c r="C23" i="18"/>
  <c r="H23" i="18"/>
  <c r="D23" i="18"/>
  <c r="E23" i="18"/>
  <c r="I23" i="18"/>
  <c r="J23" i="18"/>
  <c r="C24" i="18"/>
  <c r="D24" i="18"/>
  <c r="I24" i="18"/>
  <c r="E24" i="18"/>
  <c r="J24" i="18"/>
  <c r="H24" i="18"/>
  <c r="C25" i="18"/>
  <c r="H25" i="18"/>
  <c r="D25" i="18"/>
  <c r="I25" i="18"/>
  <c r="E25" i="18"/>
  <c r="J25" i="18"/>
  <c r="C26" i="18"/>
  <c r="H26" i="18"/>
  <c r="D26" i="18"/>
  <c r="I26" i="18"/>
  <c r="E26" i="18"/>
  <c r="J26" i="18"/>
  <c r="C27" i="18"/>
  <c r="D27" i="18"/>
  <c r="I27" i="18"/>
  <c r="E27" i="18"/>
  <c r="J27" i="18"/>
  <c r="H27" i="18"/>
  <c r="C28" i="18"/>
  <c r="H28" i="18"/>
  <c r="D28" i="18"/>
  <c r="E28" i="18"/>
  <c r="J28" i="18"/>
  <c r="I28" i="18"/>
  <c r="C29" i="18"/>
  <c r="D29" i="18"/>
  <c r="I29" i="18"/>
  <c r="E29" i="18"/>
  <c r="J29" i="18"/>
  <c r="H29" i="18"/>
  <c r="C30" i="18"/>
  <c r="D30" i="18"/>
  <c r="I30" i="18"/>
  <c r="E30" i="18"/>
  <c r="J30" i="18"/>
  <c r="H30" i="18"/>
  <c r="C31" i="18"/>
  <c r="H31" i="18"/>
  <c r="D31" i="18"/>
  <c r="I31" i="18"/>
  <c r="E31" i="18"/>
  <c r="J31" i="18"/>
  <c r="C32" i="18"/>
  <c r="H32" i="18"/>
  <c r="D32" i="18"/>
  <c r="E32" i="18"/>
  <c r="J32" i="18"/>
  <c r="I32" i="18"/>
  <c r="C33" i="18"/>
  <c r="H33" i="18"/>
  <c r="D33" i="18"/>
  <c r="I33" i="18"/>
  <c r="E33" i="18"/>
  <c r="J33" i="18"/>
  <c r="C5" i="18"/>
  <c r="H5" i="18"/>
  <c r="D5" i="18"/>
  <c r="I5" i="18"/>
  <c r="E5" i="18"/>
  <c r="J5" i="18"/>
  <c r="C6" i="18"/>
  <c r="D6" i="18"/>
  <c r="I6" i="18"/>
  <c r="E6" i="18"/>
  <c r="J6" i="18"/>
  <c r="H6" i="18"/>
  <c r="C7" i="18"/>
  <c r="H7" i="18"/>
  <c r="D7" i="18"/>
  <c r="I7" i="18"/>
  <c r="E7" i="18"/>
  <c r="J7" i="18"/>
  <c r="C8" i="18"/>
  <c r="H8" i="18"/>
  <c r="D8" i="18"/>
  <c r="I8" i="18"/>
  <c r="E8" i="18"/>
  <c r="J8" i="18"/>
  <c r="C9" i="18"/>
  <c r="H9" i="18"/>
  <c r="D9" i="18"/>
  <c r="I9" i="18"/>
  <c r="E9" i="18"/>
  <c r="J9" i="18"/>
  <c r="C10" i="18"/>
  <c r="H10" i="18"/>
  <c r="D10" i="18"/>
  <c r="I10" i="18"/>
  <c r="E10" i="18"/>
  <c r="J10" i="18"/>
  <c r="E11" i="18"/>
  <c r="J11" i="18"/>
  <c r="E4" i="18"/>
  <c r="J4" i="18"/>
  <c r="D11" i="18"/>
  <c r="I11" i="18"/>
  <c r="D4" i="18"/>
  <c r="I4" i="18"/>
  <c r="C11" i="18"/>
  <c r="H11" i="18"/>
  <c r="C4" i="18"/>
  <c r="H4" i="18"/>
  <c r="H27" i="17"/>
  <c r="H28" i="17"/>
  <c r="H29" i="17"/>
  <c r="H30" i="17"/>
  <c r="H31" i="17"/>
  <c r="H32" i="17"/>
  <c r="H33" i="17"/>
  <c r="H34" i="17"/>
  <c r="H35" i="17"/>
  <c r="H36" i="17"/>
  <c r="H37" i="17"/>
  <c r="H38" i="17"/>
  <c r="H39" i="17"/>
  <c r="H40" i="17"/>
  <c r="H41" i="17"/>
  <c r="H42" i="17"/>
  <c r="H43" i="17"/>
  <c r="H44" i="17"/>
  <c r="H45" i="17"/>
  <c r="AC34" i="17"/>
  <c r="AB27" i="17"/>
  <c r="AB28" i="17"/>
  <c r="AB29" i="17"/>
  <c r="AB30" i="17"/>
  <c r="AB31" i="17"/>
  <c r="AB32" i="17"/>
  <c r="AB33" i="17"/>
  <c r="AB34" i="17"/>
  <c r="AB35" i="17"/>
  <c r="AB36" i="17"/>
  <c r="AB37" i="17"/>
  <c r="AC38" i="17"/>
  <c r="AB38" i="17"/>
  <c r="AB39" i="17"/>
  <c r="AB40" i="17"/>
  <c r="AB41" i="17"/>
  <c r="AB42" i="17"/>
  <c r="AB43" i="17"/>
  <c r="AB44" i="17"/>
  <c r="AB45" i="17"/>
  <c r="V3" i="17"/>
  <c r="W3" i="17"/>
  <c r="X3" i="17"/>
  <c r="Y3" i="17"/>
  <c r="Z3" i="17"/>
  <c r="AA3" i="17"/>
  <c r="V4" i="17"/>
  <c r="W4" i="17"/>
  <c r="X4" i="17"/>
  <c r="Y4" i="17"/>
  <c r="Z4" i="17"/>
  <c r="AA4" i="17"/>
  <c r="V5" i="17"/>
  <c r="W5" i="17"/>
  <c r="X5" i="17"/>
  <c r="Y5" i="17"/>
  <c r="Z5" i="17"/>
  <c r="AA5" i="17"/>
  <c r="V6" i="17"/>
  <c r="W6" i="17"/>
  <c r="X6" i="17"/>
  <c r="Y6" i="17"/>
  <c r="Z6" i="17"/>
  <c r="AA6" i="17"/>
  <c r="V7" i="17"/>
  <c r="W7" i="17"/>
  <c r="X7" i="17"/>
  <c r="Y7" i="17"/>
  <c r="Z7" i="17"/>
  <c r="AA7" i="17"/>
  <c r="V8" i="17"/>
  <c r="W8" i="17"/>
  <c r="X8" i="17"/>
  <c r="Y8" i="17"/>
  <c r="Z8" i="17"/>
  <c r="AA8" i="17"/>
  <c r="V9" i="17"/>
  <c r="W9" i="17"/>
  <c r="X9" i="17"/>
  <c r="Y9" i="17"/>
  <c r="Z9" i="17"/>
  <c r="AA9" i="17"/>
  <c r="V10" i="17"/>
  <c r="W10" i="17"/>
  <c r="X10" i="17"/>
  <c r="Y10" i="17"/>
  <c r="Z10" i="17"/>
  <c r="AA10" i="17"/>
  <c r="V11" i="17"/>
  <c r="W11" i="17"/>
  <c r="X11" i="17"/>
  <c r="Y11" i="17"/>
  <c r="Z11" i="17"/>
  <c r="AA11" i="17"/>
  <c r="V12" i="17"/>
  <c r="W12" i="17"/>
  <c r="X12" i="17"/>
  <c r="Y12" i="17"/>
  <c r="Z12" i="17"/>
  <c r="AA12" i="17"/>
  <c r="V13" i="17"/>
  <c r="W13" i="17"/>
  <c r="X13" i="17"/>
  <c r="Y13" i="17"/>
  <c r="Z13" i="17"/>
  <c r="AA13" i="17"/>
  <c r="V14" i="17"/>
  <c r="W14" i="17"/>
  <c r="X14" i="17"/>
  <c r="Y14" i="17"/>
  <c r="Z14" i="17"/>
  <c r="AA14" i="17"/>
  <c r="V15" i="17"/>
  <c r="W15" i="17"/>
  <c r="X15" i="17"/>
  <c r="Y15" i="17"/>
  <c r="Z15" i="17"/>
  <c r="AA15" i="17"/>
  <c r="V16" i="17"/>
  <c r="W16" i="17"/>
  <c r="X16" i="17"/>
  <c r="Y16" i="17"/>
  <c r="Z16" i="17"/>
  <c r="AA16" i="17"/>
  <c r="V17" i="17"/>
  <c r="W17" i="17"/>
  <c r="X17" i="17"/>
  <c r="Y17" i="17"/>
  <c r="Z17" i="17"/>
  <c r="AA17" i="17"/>
  <c r="V18" i="17"/>
  <c r="W18" i="17"/>
  <c r="X18" i="17"/>
  <c r="Y18" i="17"/>
  <c r="Z18" i="17"/>
  <c r="AA18" i="17"/>
  <c r="V19" i="17"/>
  <c r="W19" i="17"/>
  <c r="X19" i="17"/>
  <c r="Y19" i="17"/>
  <c r="Z19" i="17"/>
  <c r="AA19" i="17"/>
  <c r="V20" i="17"/>
  <c r="W20" i="17"/>
  <c r="X20" i="17"/>
  <c r="Y20" i="17"/>
  <c r="Z20" i="17"/>
  <c r="AA20" i="17"/>
  <c r="V21" i="17"/>
  <c r="W21" i="17"/>
  <c r="X21" i="17"/>
  <c r="Y21" i="17"/>
  <c r="Z21" i="17"/>
  <c r="AA21" i="17"/>
  <c r="V22" i="17"/>
  <c r="W22" i="17"/>
  <c r="X22" i="17"/>
  <c r="Y22" i="17"/>
  <c r="Z22" i="17"/>
  <c r="AA22" i="17"/>
  <c r="S3" i="17"/>
  <c r="T3" i="17"/>
  <c r="U3" i="17"/>
  <c r="S4" i="17"/>
  <c r="T4" i="17"/>
  <c r="U4" i="17"/>
  <c r="S5" i="17"/>
  <c r="T5" i="17"/>
  <c r="U5" i="17"/>
  <c r="S6" i="17"/>
  <c r="T6" i="17"/>
  <c r="U6" i="17"/>
  <c r="S7" i="17"/>
  <c r="T7" i="17"/>
  <c r="U7" i="17"/>
  <c r="S8" i="17"/>
  <c r="T8" i="17"/>
  <c r="U8" i="17"/>
  <c r="S9" i="17"/>
  <c r="T9" i="17"/>
  <c r="U9" i="17"/>
  <c r="S10" i="17"/>
  <c r="T10" i="17"/>
  <c r="U10" i="17"/>
  <c r="S11" i="17"/>
  <c r="T11" i="17"/>
  <c r="U11" i="17"/>
  <c r="S12" i="17"/>
  <c r="T12" i="17"/>
  <c r="U12" i="17"/>
  <c r="S13" i="17"/>
  <c r="T13" i="17"/>
  <c r="U13" i="17"/>
  <c r="S14" i="17"/>
  <c r="T14" i="17"/>
  <c r="U14" i="17"/>
  <c r="S15" i="17"/>
  <c r="T15" i="17"/>
  <c r="U15" i="17"/>
  <c r="S16" i="17"/>
  <c r="T16" i="17"/>
  <c r="U16" i="17"/>
  <c r="S17" i="17"/>
  <c r="T17" i="17"/>
  <c r="U17" i="17"/>
  <c r="S18" i="17"/>
  <c r="T18" i="17"/>
  <c r="U18" i="17"/>
  <c r="S19" i="17"/>
  <c r="T19" i="17"/>
  <c r="U19" i="17"/>
  <c r="S20" i="17"/>
  <c r="T20" i="17"/>
  <c r="U20" i="17"/>
  <c r="S21" i="17"/>
  <c r="T21" i="17"/>
  <c r="U21" i="17"/>
  <c r="S22" i="17"/>
  <c r="T22" i="17"/>
  <c r="U22" i="17"/>
  <c r="R22" i="17"/>
  <c r="Q22" i="17"/>
  <c r="P22" i="17"/>
  <c r="O22" i="17"/>
  <c r="N22" i="17"/>
  <c r="M22" i="17"/>
  <c r="L22" i="17"/>
  <c r="K22" i="17"/>
  <c r="J22" i="17"/>
  <c r="I22" i="17"/>
  <c r="R21" i="17"/>
  <c r="Q21" i="17"/>
  <c r="P21" i="17"/>
  <c r="O21" i="17"/>
  <c r="N21" i="17"/>
  <c r="M21" i="17"/>
  <c r="L21" i="17"/>
  <c r="K21" i="17"/>
  <c r="J21" i="17"/>
  <c r="I21" i="17"/>
  <c r="R20" i="17"/>
  <c r="Q20" i="17"/>
  <c r="P20" i="17"/>
  <c r="O20" i="17"/>
  <c r="N20" i="17"/>
  <c r="M20" i="17"/>
  <c r="L20" i="17"/>
  <c r="K20" i="17"/>
  <c r="J20" i="17"/>
  <c r="I20" i="17"/>
  <c r="R19" i="17"/>
  <c r="Q19" i="17"/>
  <c r="P19" i="17"/>
  <c r="O19" i="17"/>
  <c r="N19" i="17"/>
  <c r="M19" i="17"/>
  <c r="L19" i="17"/>
  <c r="K19" i="17"/>
  <c r="J19" i="17"/>
  <c r="I19" i="17"/>
  <c r="R18" i="17"/>
  <c r="Q18" i="17"/>
  <c r="P18" i="17"/>
  <c r="O18" i="17"/>
  <c r="N18" i="17"/>
  <c r="M18" i="17"/>
  <c r="L18" i="17"/>
  <c r="K18" i="17"/>
  <c r="J18" i="17"/>
  <c r="I18" i="17"/>
  <c r="R17" i="17"/>
  <c r="Q17" i="17"/>
  <c r="P17" i="17"/>
  <c r="O17" i="17"/>
  <c r="N17" i="17"/>
  <c r="M17" i="17"/>
  <c r="L17" i="17"/>
  <c r="K17" i="17"/>
  <c r="J17" i="17"/>
  <c r="I17" i="17"/>
  <c r="R16" i="17"/>
  <c r="Q16" i="17"/>
  <c r="P16" i="17"/>
  <c r="O16" i="17"/>
  <c r="N16" i="17"/>
  <c r="M16" i="17"/>
  <c r="L16" i="17"/>
  <c r="K16" i="17"/>
  <c r="J16" i="17"/>
  <c r="I16" i="17"/>
  <c r="R15" i="17"/>
  <c r="Q15" i="17"/>
  <c r="P15" i="17"/>
  <c r="O15" i="17"/>
  <c r="N15" i="17"/>
  <c r="M15" i="17"/>
  <c r="L15" i="17"/>
  <c r="K15" i="17"/>
  <c r="J15" i="17"/>
  <c r="I15" i="17"/>
  <c r="R14" i="17"/>
  <c r="Q14" i="17"/>
  <c r="P14" i="17"/>
  <c r="O14" i="17"/>
  <c r="N14" i="17"/>
  <c r="M14" i="17"/>
  <c r="L14" i="17"/>
  <c r="K14" i="17"/>
  <c r="J14" i="17"/>
  <c r="I14" i="17"/>
  <c r="R13" i="17"/>
  <c r="Q13" i="17"/>
  <c r="P13" i="17"/>
  <c r="O13" i="17"/>
  <c r="N13" i="17"/>
  <c r="M13" i="17"/>
  <c r="L13" i="17"/>
  <c r="K13" i="17"/>
  <c r="J13" i="17"/>
  <c r="I13" i="17"/>
  <c r="R12" i="17"/>
  <c r="Q12" i="17"/>
  <c r="P12" i="17"/>
  <c r="O12" i="17"/>
  <c r="N12" i="17"/>
  <c r="M12" i="17"/>
  <c r="L12" i="17"/>
  <c r="K12" i="17"/>
  <c r="J12" i="17"/>
  <c r="I12" i="17"/>
  <c r="R11" i="17"/>
  <c r="Q11" i="17"/>
  <c r="P11" i="17"/>
  <c r="O11" i="17"/>
  <c r="N11" i="17"/>
  <c r="M11" i="17"/>
  <c r="L11" i="17"/>
  <c r="K11" i="17"/>
  <c r="J11" i="17"/>
  <c r="I11" i="17"/>
  <c r="R10" i="17"/>
  <c r="Q10" i="17"/>
  <c r="P10" i="17"/>
  <c r="O10" i="17"/>
  <c r="N10" i="17"/>
  <c r="M10" i="17"/>
  <c r="L10" i="17"/>
  <c r="K10" i="17"/>
  <c r="J10" i="17"/>
  <c r="I10" i="17"/>
  <c r="R9" i="17"/>
  <c r="Q9" i="17"/>
  <c r="P9" i="17"/>
  <c r="O9" i="17"/>
  <c r="N9" i="17"/>
  <c r="M9" i="17"/>
  <c r="L9" i="17"/>
  <c r="K9" i="17"/>
  <c r="J9" i="17"/>
  <c r="I9" i="17"/>
  <c r="R8" i="17"/>
  <c r="Q8" i="17"/>
  <c r="P8" i="17"/>
  <c r="O8" i="17"/>
  <c r="N8" i="17"/>
  <c r="M8" i="17"/>
  <c r="L8" i="17"/>
  <c r="K8" i="17"/>
  <c r="J8" i="17"/>
  <c r="I8" i="17"/>
  <c r="R7" i="17"/>
  <c r="Q7" i="17"/>
  <c r="P7" i="17"/>
  <c r="O7" i="17"/>
  <c r="N7" i="17"/>
  <c r="M7" i="17"/>
  <c r="L7" i="17"/>
  <c r="K7" i="17"/>
  <c r="J7" i="17"/>
  <c r="I7" i="17"/>
  <c r="R6" i="17"/>
  <c r="Q6" i="17"/>
  <c r="P6" i="17"/>
  <c r="O6" i="17"/>
  <c r="N6" i="17"/>
  <c r="M6" i="17"/>
  <c r="L6" i="17"/>
  <c r="K6" i="17"/>
  <c r="J6" i="17"/>
  <c r="I6" i="17"/>
  <c r="R5" i="17"/>
  <c r="Q5" i="17"/>
  <c r="P5" i="17"/>
  <c r="O5" i="17"/>
  <c r="N5" i="17"/>
  <c r="M5" i="17"/>
  <c r="L5" i="17"/>
  <c r="K5" i="17"/>
  <c r="J5" i="17"/>
  <c r="I5" i="17"/>
  <c r="R4" i="17"/>
  <c r="Q4" i="17"/>
  <c r="P4" i="17"/>
  <c r="O4" i="17"/>
  <c r="N4" i="17"/>
  <c r="M4" i="17"/>
  <c r="L4" i="17"/>
  <c r="K4" i="17"/>
  <c r="J4" i="17"/>
  <c r="I4" i="17"/>
  <c r="R3" i="17"/>
  <c r="Q3" i="17"/>
  <c r="P3" i="17"/>
  <c r="O3" i="17"/>
  <c r="N3" i="17"/>
  <c r="M3" i="17"/>
  <c r="L3" i="17"/>
  <c r="K3" i="17"/>
  <c r="J3" i="17"/>
  <c r="I3" i="17"/>
  <c r="H3" i="17"/>
  <c r="H4" i="17"/>
  <c r="H5" i="17"/>
  <c r="H6" i="17"/>
  <c r="H7" i="17"/>
  <c r="H8" i="17"/>
  <c r="H9" i="17"/>
  <c r="H10" i="17"/>
  <c r="H11" i="17"/>
  <c r="H12" i="17"/>
  <c r="H13" i="17"/>
  <c r="H14" i="17"/>
  <c r="H15" i="17"/>
  <c r="H16" i="17"/>
  <c r="H17" i="17"/>
  <c r="H18" i="17"/>
  <c r="H19" i="17"/>
  <c r="H20" i="17"/>
  <c r="H21" i="17"/>
  <c r="H22" i="17"/>
  <c r="AC30" i="17"/>
  <c r="AC42" i="17"/>
  <c r="AC27" i="17"/>
  <c r="AC31" i="17"/>
  <c r="AC35" i="17"/>
  <c r="AC39" i="17"/>
  <c r="AC43" i="17"/>
  <c r="AC28" i="17"/>
  <c r="AC32" i="17"/>
  <c r="AC36" i="17"/>
  <c r="AC40" i="17"/>
  <c r="AC44" i="17"/>
  <c r="AC29" i="17"/>
  <c r="AC33" i="17"/>
  <c r="AC37" i="17"/>
  <c r="AC41" i="17"/>
  <c r="AC45" i="17"/>
  <c r="AH8" i="16"/>
  <c r="AH7" i="16"/>
  <c r="AH6" i="16"/>
  <c r="AH5" i="16"/>
  <c r="D45" i="16"/>
  <c r="F45" i="16"/>
  <c r="D44" i="16"/>
  <c r="E44" i="16"/>
  <c r="E45" i="16"/>
  <c r="F44" i="16"/>
  <c r="G44" i="16"/>
  <c r="G45" i="16"/>
  <c r="H42" i="16"/>
  <c r="H41" i="16"/>
  <c r="H40" i="16"/>
  <c r="H39" i="16"/>
  <c r="D37" i="16"/>
  <c r="E37" i="16"/>
  <c r="F37" i="16"/>
  <c r="G37" i="16"/>
  <c r="C36" i="16"/>
  <c r="C44" i="16"/>
  <c r="C45" i="16"/>
  <c r="H45" i="16"/>
  <c r="G46" i="16"/>
  <c r="D46" i="16"/>
  <c r="C37" i="16"/>
  <c r="W6" i="16"/>
  <c r="W7" i="16"/>
  <c r="W8" i="16"/>
  <c r="W5" i="16"/>
  <c r="H26" i="16"/>
  <c r="H27" i="16"/>
  <c r="H28" i="16"/>
  <c r="H25" i="16"/>
  <c r="O28" i="16"/>
  <c r="N28" i="16"/>
  <c r="M28" i="16"/>
  <c r="L28" i="16"/>
  <c r="K28" i="16"/>
  <c r="O27" i="16"/>
  <c r="N27" i="16"/>
  <c r="M27" i="16"/>
  <c r="L27" i="16"/>
  <c r="K27" i="16"/>
  <c r="O26" i="16"/>
  <c r="N26" i="16"/>
  <c r="M26" i="16"/>
  <c r="L26" i="16"/>
  <c r="K26" i="16"/>
  <c r="O25" i="16"/>
  <c r="N25" i="16"/>
  <c r="M25" i="16"/>
  <c r="L25" i="16"/>
  <c r="K25" i="16"/>
  <c r="V17" i="16"/>
  <c r="V18" i="16"/>
  <c r="V19" i="16"/>
  <c r="V16" i="16"/>
  <c r="U17" i="16"/>
  <c r="U18" i="16"/>
  <c r="U19" i="16"/>
  <c r="U16" i="16"/>
  <c r="T17" i="16"/>
  <c r="T18" i="16"/>
  <c r="T19" i="16"/>
  <c r="T16" i="16"/>
  <c r="S17" i="16"/>
  <c r="S18" i="16"/>
  <c r="S19" i="16"/>
  <c r="S16" i="16"/>
  <c r="R17" i="16"/>
  <c r="R18" i="16"/>
  <c r="R19" i="16"/>
  <c r="R16" i="16"/>
  <c r="Z5" i="15"/>
  <c r="Y5" i="15"/>
  <c r="X5" i="15"/>
  <c r="X6" i="15"/>
  <c r="X7" i="15"/>
  <c r="X8" i="15"/>
  <c r="X9" i="15"/>
  <c r="X10" i="15"/>
  <c r="X11" i="15"/>
  <c r="X12" i="15"/>
  <c r="X13" i="15"/>
  <c r="X14" i="15"/>
  <c r="X15" i="15"/>
  <c r="X16" i="15"/>
  <c r="X17" i="15"/>
  <c r="X18" i="15"/>
  <c r="X19" i="15"/>
  <c r="X20" i="15"/>
  <c r="X21" i="15"/>
  <c r="X22" i="15"/>
  <c r="X23" i="15"/>
  <c r="X24" i="15"/>
  <c r="X25" i="15"/>
  <c r="X26" i="15"/>
  <c r="X27" i="15"/>
  <c r="X28" i="15"/>
  <c r="X29" i="15"/>
  <c r="X30" i="15"/>
  <c r="X31" i="15"/>
  <c r="X32" i="15"/>
  <c r="X33" i="15"/>
  <c r="X34" i="15"/>
  <c r="X35" i="15"/>
  <c r="X36" i="15"/>
  <c r="T5" i="15"/>
  <c r="U5" i="15"/>
  <c r="V5" i="15"/>
  <c r="U4" i="15"/>
  <c r="T4" i="15"/>
  <c r="V4" i="15"/>
  <c r="E46" i="16"/>
  <c r="C38" i="16"/>
  <c r="H37" i="16"/>
  <c r="C46" i="16"/>
  <c r="F46" i="16"/>
  <c r="T6" i="15"/>
  <c r="D4" i="15"/>
  <c r="D5" i="15"/>
  <c r="D6" i="15"/>
  <c r="D7" i="15"/>
  <c r="D8" i="15"/>
  <c r="D9" i="15"/>
  <c r="D10" i="15"/>
  <c r="D11" i="15"/>
  <c r="D12" i="15"/>
  <c r="D13" i="15"/>
  <c r="D14" i="15"/>
  <c r="D15" i="15"/>
  <c r="D16" i="15"/>
  <c r="D17" i="15"/>
  <c r="D18" i="15"/>
  <c r="D19" i="15"/>
  <c r="D20" i="15"/>
  <c r="D21" i="15"/>
  <c r="D22" i="15"/>
  <c r="D23" i="15"/>
  <c r="D24" i="15"/>
  <c r="D25" i="15"/>
  <c r="D26" i="15"/>
  <c r="D27" i="15"/>
  <c r="D28" i="15"/>
  <c r="D29" i="15"/>
  <c r="D30" i="15"/>
  <c r="D31" i="15"/>
  <c r="D32" i="15"/>
  <c r="D33" i="15"/>
  <c r="D34" i="15"/>
  <c r="D35" i="15"/>
  <c r="D36" i="15"/>
  <c r="C4" i="15"/>
  <c r="E4" i="15"/>
  <c r="E5" i="15"/>
  <c r="E6" i="15"/>
  <c r="E7" i="15"/>
  <c r="E8" i="15"/>
  <c r="E9" i="15"/>
  <c r="E10" i="15"/>
  <c r="E11" i="15"/>
  <c r="E12" i="15"/>
  <c r="E13" i="15"/>
  <c r="E14" i="15"/>
  <c r="E15" i="15"/>
  <c r="E16" i="15"/>
  <c r="E17" i="15"/>
  <c r="E18" i="15"/>
  <c r="E19" i="15"/>
  <c r="E20" i="15"/>
  <c r="E21" i="15"/>
  <c r="E22" i="15"/>
  <c r="E23" i="15"/>
  <c r="E24" i="15"/>
  <c r="E25" i="15"/>
  <c r="E26" i="15"/>
  <c r="E27" i="15"/>
  <c r="E28" i="15"/>
  <c r="E29" i="15"/>
  <c r="E30" i="15"/>
  <c r="E31" i="15"/>
  <c r="E32" i="15"/>
  <c r="E33" i="15"/>
  <c r="E34" i="15"/>
  <c r="E35" i="15"/>
  <c r="E36" i="15"/>
  <c r="J40" i="16"/>
  <c r="J42" i="16"/>
  <c r="J41" i="16"/>
  <c r="J39" i="16"/>
  <c r="G38" i="16"/>
  <c r="D38" i="16"/>
  <c r="I39" i="16"/>
  <c r="E38" i="16"/>
  <c r="F38" i="16"/>
  <c r="Y6" i="15"/>
  <c r="U6" i="15"/>
  <c r="T7" i="15"/>
  <c r="C5" i="15"/>
  <c r="C6" i="15"/>
  <c r="C7" i="15"/>
  <c r="C8" i="15"/>
  <c r="C9" i="15"/>
  <c r="C10" i="15"/>
  <c r="C11" i="15"/>
  <c r="C12" i="15"/>
  <c r="C13" i="15"/>
  <c r="C14" i="15"/>
  <c r="C15" i="15"/>
  <c r="C16" i="15"/>
  <c r="C17" i="15"/>
  <c r="C18" i="15"/>
  <c r="C19" i="15"/>
  <c r="C20" i="15"/>
  <c r="C21" i="15"/>
  <c r="C22" i="15"/>
  <c r="C23" i="15"/>
  <c r="C24" i="15"/>
  <c r="C25" i="15"/>
  <c r="C26" i="15"/>
  <c r="C27" i="15"/>
  <c r="C28" i="15"/>
  <c r="C29" i="15"/>
  <c r="C30" i="15"/>
  <c r="C31" i="15"/>
  <c r="C32" i="15"/>
  <c r="C33" i="15"/>
  <c r="C34" i="15"/>
  <c r="C35" i="15"/>
  <c r="C36" i="15"/>
  <c r="G4" i="14"/>
  <c r="I42" i="16"/>
  <c r="I41" i="16"/>
  <c r="I40" i="16"/>
  <c r="Z6" i="15"/>
  <c r="V6" i="15"/>
  <c r="Y7" i="15"/>
  <c r="U7" i="15"/>
  <c r="T8" i="15"/>
  <c r="V58" i="13"/>
  <c r="X57" i="13"/>
  <c r="X56" i="13"/>
  <c r="X55" i="13"/>
  <c r="X54" i="13"/>
  <c r="X53" i="13"/>
  <c r="Y53" i="13"/>
  <c r="X52" i="13"/>
  <c r="Y52" i="13"/>
  <c r="J35" i="13"/>
  <c r="J36" i="13"/>
  <c r="J37" i="13"/>
  <c r="J38" i="13"/>
  <c r="J34" i="13"/>
  <c r="J33" i="13"/>
  <c r="I34" i="13"/>
  <c r="I35" i="13"/>
  <c r="I36" i="13"/>
  <c r="I37" i="13"/>
  <c r="I38" i="13"/>
  <c r="I33" i="13"/>
  <c r="H39" i="13"/>
  <c r="Z7" i="15"/>
  <c r="V7" i="15"/>
  <c r="Y8" i="15"/>
  <c r="U8" i="15"/>
  <c r="T9" i="15"/>
  <c r="Y54" i="13"/>
  <c r="Y55" i="13"/>
  <c r="Y56" i="13"/>
  <c r="Y57" i="13"/>
  <c r="H24" i="13"/>
  <c r="Z8" i="15"/>
  <c r="V8" i="15"/>
  <c r="T10" i="15"/>
  <c r="Y9" i="15"/>
  <c r="U9" i="15"/>
  <c r="P7" i="13"/>
  <c r="P9" i="13"/>
  <c r="P8" i="13"/>
  <c r="P6" i="13"/>
  <c r="P5" i="13"/>
  <c r="P4" i="13"/>
  <c r="O9" i="13"/>
  <c r="O8" i="13"/>
  <c r="O7" i="13"/>
  <c r="O6" i="13"/>
  <c r="O5" i="13"/>
  <c r="O4" i="13"/>
  <c r="Z9" i="15"/>
  <c r="V9" i="15"/>
  <c r="T11" i="15"/>
  <c r="Y10" i="15"/>
  <c r="U10" i="15"/>
  <c r="Z10" i="15"/>
  <c r="V10" i="15"/>
  <c r="T12" i="15"/>
  <c r="Y11" i="15"/>
  <c r="U11" i="15"/>
  <c r="K62" i="10"/>
  <c r="F63" i="10"/>
  <c r="E63" i="10"/>
  <c r="F62" i="10"/>
  <c r="E62" i="10"/>
  <c r="L58" i="10"/>
  <c r="L57" i="10"/>
  <c r="G58" i="10"/>
  <c r="G57" i="10"/>
  <c r="T9" i="10"/>
  <c r="T8" i="10"/>
  <c r="T7" i="10"/>
  <c r="T6" i="10"/>
  <c r="N9" i="10"/>
  <c r="N18" i="10"/>
  <c r="O9" i="10"/>
  <c r="O18" i="10"/>
  <c r="P9" i="10"/>
  <c r="P18" i="10"/>
  <c r="M9" i="10"/>
  <c r="N8" i="10"/>
  <c r="N17" i="10"/>
  <c r="O8" i="10"/>
  <c r="O17" i="10"/>
  <c r="P8" i="10"/>
  <c r="P17" i="10"/>
  <c r="M8" i="10"/>
  <c r="N7" i="10"/>
  <c r="O7" i="10"/>
  <c r="O16" i="10"/>
  <c r="P7" i="10"/>
  <c r="P16" i="10"/>
  <c r="M7" i="10"/>
  <c r="N6" i="10"/>
  <c r="N15" i="10"/>
  <c r="O6" i="10"/>
  <c r="O15" i="10"/>
  <c r="P6" i="10"/>
  <c r="P15" i="10"/>
  <c r="M6" i="10"/>
  <c r="N16" i="10"/>
  <c r="Z11" i="15"/>
  <c r="V11" i="15"/>
  <c r="T13" i="15"/>
  <c r="Y12" i="15"/>
  <c r="U12" i="15"/>
  <c r="J63" i="10"/>
  <c r="G62" i="10"/>
  <c r="G63" i="10"/>
  <c r="M16" i="10"/>
  <c r="M15" i="10"/>
  <c r="M17" i="10"/>
  <c r="M18" i="10"/>
  <c r="F40" i="10"/>
  <c r="I46" i="10"/>
  <c r="H46" i="10"/>
  <c r="G46" i="10"/>
  <c r="F46" i="10"/>
  <c r="I40" i="10"/>
  <c r="H40" i="10"/>
  <c r="G40" i="10"/>
  <c r="J45" i="10"/>
  <c r="J44" i="10"/>
  <c r="J39" i="10"/>
  <c r="J38" i="10"/>
  <c r="P19" i="10"/>
  <c r="O19" i="10"/>
  <c r="N19" i="10"/>
  <c r="Q18" i="10"/>
  <c r="Q16" i="10"/>
  <c r="Q15" i="10"/>
  <c r="X7" i="10"/>
  <c r="X8" i="10"/>
  <c r="X9" i="10"/>
  <c r="X6" i="10"/>
  <c r="Q9" i="10"/>
  <c r="Q6" i="10"/>
  <c r="T10" i="10"/>
  <c r="P10" i="10"/>
  <c r="M10" i="10"/>
  <c r="W10" i="10"/>
  <c r="V10" i="10"/>
  <c r="U10" i="10"/>
  <c r="O10" i="10"/>
  <c r="N10" i="10"/>
  <c r="Q8" i="10"/>
  <c r="Q7" i="10"/>
  <c r="Z12" i="15"/>
  <c r="V12" i="15"/>
  <c r="T14" i="15"/>
  <c r="Y13" i="15"/>
  <c r="U13" i="15"/>
  <c r="M19" i="10"/>
  <c r="Q17" i="10"/>
  <c r="Q19" i="10"/>
  <c r="J46" i="10"/>
  <c r="X10" i="10"/>
  <c r="J40" i="10"/>
  <c r="Q10" i="10"/>
  <c r="X32" i="8"/>
  <c r="W32" i="8"/>
  <c r="V32" i="8"/>
  <c r="Z31" i="8"/>
  <c r="Z30" i="8"/>
  <c r="Z29" i="8"/>
  <c r="Z28" i="8"/>
  <c r="O12" i="8"/>
  <c r="P12" i="8"/>
  <c r="Q12" i="8"/>
  <c r="R12" i="8"/>
  <c r="O11" i="8"/>
  <c r="P11" i="8"/>
  <c r="Q11" i="8"/>
  <c r="R11" i="8"/>
  <c r="O10" i="8"/>
  <c r="P10" i="8"/>
  <c r="Q10" i="8"/>
  <c r="R10" i="8"/>
  <c r="O9" i="8"/>
  <c r="P9" i="8"/>
  <c r="Q9" i="8"/>
  <c r="R9" i="8"/>
  <c r="O8" i="8"/>
  <c r="P8" i="8"/>
  <c r="Q8" i="8"/>
  <c r="R8" i="8"/>
  <c r="O7" i="8"/>
  <c r="P7" i="8"/>
  <c r="Q7" i="8"/>
  <c r="R7" i="8"/>
  <c r="O6" i="8"/>
  <c r="P6" i="8"/>
  <c r="Q6" i="8"/>
  <c r="R6" i="8"/>
  <c r="O5" i="8"/>
  <c r="P5" i="8"/>
  <c r="Q5" i="8"/>
  <c r="R5" i="8"/>
  <c r="O4" i="8"/>
  <c r="P4" i="8"/>
  <c r="Q4" i="8"/>
  <c r="R4" i="8"/>
  <c r="BB60" i="2"/>
  <c r="BB58" i="2"/>
  <c r="Z13" i="15"/>
  <c r="V13" i="15"/>
  <c r="T15" i="15"/>
  <c r="Y14" i="15"/>
  <c r="U14" i="15"/>
  <c r="Z32" i="8"/>
  <c r="Y32" i="8"/>
  <c r="G77" i="8"/>
  <c r="H77" i="8"/>
  <c r="G78" i="8"/>
  <c r="H78" i="8"/>
  <c r="G79" i="8"/>
  <c r="H79" i="8"/>
  <c r="G80" i="8"/>
  <c r="H80" i="8"/>
  <c r="G81" i="8"/>
  <c r="H81" i="8"/>
  <c r="G82" i="8"/>
  <c r="H82" i="8"/>
  <c r="G83" i="8"/>
  <c r="H83" i="8"/>
  <c r="G84" i="8"/>
  <c r="H84" i="8"/>
  <c r="G76" i="8"/>
  <c r="H76" i="8"/>
  <c r="D85" i="8"/>
  <c r="D86" i="8"/>
  <c r="E85" i="8"/>
  <c r="E86" i="8"/>
  <c r="F85" i="8"/>
  <c r="F86" i="8"/>
  <c r="C85" i="8"/>
  <c r="C86" i="8"/>
  <c r="G69" i="8"/>
  <c r="J7" i="10"/>
  <c r="J8" i="10"/>
  <c r="J9" i="10"/>
  <c r="J10" i="10"/>
  <c r="J11" i="10"/>
  <c r="J12" i="10"/>
  <c r="J13" i="10"/>
  <c r="I14" i="10"/>
  <c r="H14" i="10"/>
  <c r="G14" i="10"/>
  <c r="F14" i="10"/>
  <c r="J6" i="10"/>
  <c r="Z14" i="15"/>
  <c r="V14" i="15"/>
  <c r="T16" i="15"/>
  <c r="Y15" i="15"/>
  <c r="U15" i="15"/>
  <c r="C87" i="8"/>
  <c r="H85" i="8"/>
  <c r="G23" i="10"/>
  <c r="I23" i="10"/>
  <c r="F23" i="10"/>
  <c r="H23" i="10"/>
  <c r="G21" i="10"/>
  <c r="I21" i="10"/>
  <c r="F21" i="10"/>
  <c r="H21" i="10"/>
  <c r="H27" i="10"/>
  <c r="O27" i="10"/>
  <c r="F27" i="10"/>
  <c r="M27" i="10"/>
  <c r="F19" i="10"/>
  <c r="H19" i="10"/>
  <c r="G27" i="10"/>
  <c r="N27" i="10"/>
  <c r="I27" i="10"/>
  <c r="P27" i="10"/>
  <c r="G19" i="10"/>
  <c r="I19" i="10"/>
  <c r="F17" i="10"/>
  <c r="H17" i="10"/>
  <c r="G17" i="10"/>
  <c r="I17" i="10"/>
  <c r="G26" i="10"/>
  <c r="N26" i="10"/>
  <c r="I26" i="10"/>
  <c r="P26" i="10"/>
  <c r="P28" i="10"/>
  <c r="G16" i="10"/>
  <c r="I16" i="10"/>
  <c r="H26" i="10"/>
  <c r="O26" i="10"/>
  <c r="O28" i="10"/>
  <c r="F26" i="10"/>
  <c r="F16" i="10"/>
  <c r="H16" i="10"/>
  <c r="G22" i="10"/>
  <c r="I22" i="10"/>
  <c r="F22" i="10"/>
  <c r="H22" i="10"/>
  <c r="G20" i="10"/>
  <c r="F20" i="10"/>
  <c r="I20" i="10"/>
  <c r="H20" i="10"/>
  <c r="I18" i="10"/>
  <c r="F18" i="10"/>
  <c r="G18" i="10"/>
  <c r="H18" i="10"/>
  <c r="J14" i="10"/>
  <c r="G85" i="8"/>
  <c r="C90" i="8"/>
  <c r="Q72" i="9"/>
  <c r="Z15" i="15"/>
  <c r="V15" i="15"/>
  <c r="T17" i="15"/>
  <c r="Y16" i="15"/>
  <c r="U16" i="15"/>
  <c r="N28" i="10"/>
  <c r="J26" i="10"/>
  <c r="M26" i="10"/>
  <c r="Q27" i="10"/>
  <c r="R13" i="8"/>
  <c r="S14" i="8"/>
  <c r="P48" i="9"/>
  <c r="O48" i="9"/>
  <c r="Q47" i="9"/>
  <c r="Q46" i="9"/>
  <c r="D35" i="9"/>
  <c r="C35" i="9"/>
  <c r="E34" i="9"/>
  <c r="E33" i="9"/>
  <c r="D30" i="9"/>
  <c r="C30" i="9"/>
  <c r="E29" i="9"/>
  <c r="E28" i="9"/>
  <c r="D5" i="9"/>
  <c r="C5" i="9"/>
  <c r="E4" i="9"/>
  <c r="E3" i="9"/>
  <c r="D10" i="9"/>
  <c r="C10" i="9"/>
  <c r="E9" i="9"/>
  <c r="E8" i="9"/>
  <c r="D15" i="9"/>
  <c r="C15" i="9"/>
  <c r="E14" i="9"/>
  <c r="E13" i="9"/>
  <c r="D20" i="9"/>
  <c r="C20" i="9"/>
  <c r="E19" i="9"/>
  <c r="E18" i="9"/>
  <c r="D25" i="9"/>
  <c r="C25" i="9"/>
  <c r="E24" i="9"/>
  <c r="E23" i="9"/>
  <c r="Z16" i="15"/>
  <c r="V16" i="15"/>
  <c r="T18" i="15"/>
  <c r="Y17" i="15"/>
  <c r="U17" i="15"/>
  <c r="Q48" i="9"/>
  <c r="Q26" i="10"/>
  <c r="Q28" i="10"/>
  <c r="M28" i="10"/>
  <c r="E35" i="9"/>
  <c r="G35" i="9"/>
  <c r="K11" i="9"/>
  <c r="E30" i="9"/>
  <c r="G30" i="9"/>
  <c r="K10" i="9"/>
  <c r="E5" i="9"/>
  <c r="G5" i="9"/>
  <c r="K5" i="9"/>
  <c r="E10" i="9"/>
  <c r="G10" i="9"/>
  <c r="K6" i="9"/>
  <c r="E15" i="9"/>
  <c r="G15" i="9"/>
  <c r="K7" i="9"/>
  <c r="E25" i="9"/>
  <c r="G25" i="9"/>
  <c r="K9" i="9"/>
  <c r="E20" i="9"/>
  <c r="G20" i="9"/>
  <c r="K8" i="9"/>
  <c r="C55" i="8"/>
  <c r="G57" i="8"/>
  <c r="G55" i="8"/>
  <c r="G53" i="8"/>
  <c r="G52" i="8"/>
  <c r="E53" i="8"/>
  <c r="G50" i="8"/>
  <c r="C51" i="8"/>
  <c r="G54" i="8"/>
  <c r="F55" i="8"/>
  <c r="D32" i="8"/>
  <c r="E32" i="8"/>
  <c r="C32" i="8"/>
  <c r="G29" i="8"/>
  <c r="G30" i="8"/>
  <c r="G28" i="8"/>
  <c r="E22" i="8"/>
  <c r="D22" i="8"/>
  <c r="C22" i="8"/>
  <c r="C20" i="8"/>
  <c r="D20" i="8"/>
  <c r="E20" i="8"/>
  <c r="E21" i="8"/>
  <c r="D21" i="8"/>
  <c r="C21" i="8"/>
  <c r="F21" i="8"/>
  <c r="D23" i="8"/>
  <c r="D24" i="8" s="1"/>
  <c r="E23" i="8"/>
  <c r="F31" i="8"/>
  <c r="G31" i="8" s="1"/>
  <c r="C23" i="8"/>
  <c r="C24" i="8"/>
  <c r="D4" i="8"/>
  <c r="E4" i="8"/>
  <c r="C13" i="8"/>
  <c r="D5" i="8"/>
  <c r="D6" i="8"/>
  <c r="E6" i="8"/>
  <c r="F6" i="8"/>
  <c r="G6" i="8"/>
  <c r="D7" i="8"/>
  <c r="E7" i="8"/>
  <c r="F7" i="8"/>
  <c r="G7" i="8"/>
  <c r="D8" i="8"/>
  <c r="E8" i="8"/>
  <c r="F8" i="8"/>
  <c r="G8" i="8"/>
  <c r="D9" i="8"/>
  <c r="E9" i="8"/>
  <c r="F9" i="8"/>
  <c r="G9" i="8"/>
  <c r="D10" i="8"/>
  <c r="E10" i="8"/>
  <c r="F10" i="8"/>
  <c r="G10" i="8"/>
  <c r="D11" i="8"/>
  <c r="E11" i="8"/>
  <c r="F11" i="8"/>
  <c r="G11" i="8"/>
  <c r="D12" i="8"/>
  <c r="E12" i="8"/>
  <c r="F12" i="8"/>
  <c r="G12" i="8"/>
  <c r="E5" i="8"/>
  <c r="F5" i="8"/>
  <c r="G5" i="8"/>
  <c r="F32" i="8"/>
  <c r="AY4" i="6"/>
  <c r="BB25" i="6"/>
  <c r="BB26" i="6"/>
  <c r="BB27" i="6"/>
  <c r="AP22" i="6"/>
  <c r="AP23" i="6"/>
  <c r="AM4" i="6"/>
  <c r="AO4" i="6"/>
  <c r="AM5" i="6"/>
  <c r="AM6" i="6"/>
  <c r="AN6" i="6"/>
  <c r="AJ365" i="2"/>
  <c r="AK365" i="2"/>
  <c r="AL365" i="2"/>
  <c r="AM365" i="2"/>
  <c r="AN365" i="2"/>
  <c r="AO365" i="2"/>
  <c r="AI365" i="2"/>
  <c r="AH366" i="2"/>
  <c r="AC473" i="2"/>
  <c r="AB474" i="2"/>
  <c r="AD472" i="2"/>
  <c r="F470" i="2"/>
  <c r="AO5" i="6"/>
  <c r="AM7" i="6"/>
  <c r="AN7" i="6"/>
  <c r="AN22" i="6"/>
  <c r="AN23" i="6"/>
  <c r="AM8" i="6"/>
  <c r="AM9" i="6"/>
  <c r="AN9" i="6"/>
  <c r="AN8" i="6"/>
  <c r="AM10" i="6"/>
  <c r="AM11" i="6"/>
  <c r="AM12" i="6"/>
  <c r="AM13" i="6"/>
  <c r="AM14" i="6"/>
  <c r="AM15" i="6"/>
  <c r="AM16" i="6"/>
  <c r="AM17" i="6"/>
  <c r="AM18" i="6"/>
  <c r="AM19" i="6"/>
  <c r="AM20" i="6"/>
  <c r="AM21" i="6"/>
  <c r="AO10" i="6"/>
  <c r="T13" i="6"/>
  <c r="W11" i="6"/>
  <c r="U13" i="6"/>
  <c r="X7" i="6"/>
  <c r="S13" i="6"/>
  <c r="V7" i="6"/>
  <c r="V4" i="6"/>
  <c r="V12" i="6"/>
  <c r="X10" i="6"/>
  <c r="W9" i="6"/>
  <c r="V8" i="6"/>
  <c r="W6" i="6"/>
  <c r="V5" i="6"/>
  <c r="W12" i="6"/>
  <c r="V11" i="6"/>
  <c r="X9" i="6"/>
  <c r="W8" i="6"/>
  <c r="X6" i="6"/>
  <c r="W5" i="6"/>
  <c r="S14" i="6"/>
  <c r="U14" i="6"/>
  <c r="U15" i="6"/>
  <c r="U16" i="6"/>
  <c r="W4" i="6"/>
  <c r="X11" i="6"/>
  <c r="W10" i="6"/>
  <c r="V9" i="6"/>
  <c r="W7" i="6"/>
  <c r="V6" i="6"/>
  <c r="V17" i="6"/>
  <c r="X4" i="6"/>
  <c r="X12" i="6"/>
  <c r="V10" i="6"/>
  <c r="X8" i="6"/>
  <c r="X5" i="6"/>
  <c r="M24" i="6"/>
  <c r="N24" i="6"/>
  <c r="M25" i="6"/>
  <c r="N25" i="6"/>
  <c r="M26" i="6"/>
  <c r="N26" i="6"/>
  <c r="M27" i="6"/>
  <c r="N27" i="6"/>
  <c r="M28" i="6"/>
  <c r="N28" i="6"/>
  <c r="M29" i="6"/>
  <c r="N29" i="6"/>
  <c r="M30" i="6"/>
  <c r="N30" i="6"/>
  <c r="M23" i="6"/>
  <c r="N23" i="6"/>
  <c r="J24" i="6"/>
  <c r="J25" i="6"/>
  <c r="J26" i="6"/>
  <c r="J27" i="6"/>
  <c r="J28" i="6"/>
  <c r="J29" i="6"/>
  <c r="J30" i="6"/>
  <c r="Q10" i="6"/>
  <c r="P10" i="6"/>
  <c r="M4" i="6"/>
  <c r="M5" i="6"/>
  <c r="M6" i="6"/>
  <c r="M7" i="6"/>
  <c r="M9" i="6"/>
  <c r="M8" i="6"/>
  <c r="N4" i="6"/>
  <c r="N5" i="6"/>
  <c r="N6" i="6"/>
  <c r="N7" i="6"/>
  <c r="N9" i="6"/>
  <c r="N8" i="6"/>
  <c r="F4" i="6"/>
  <c r="E18" i="6"/>
  <c r="J5" i="5"/>
  <c r="J6" i="5"/>
  <c r="J7" i="5"/>
  <c r="J8" i="5"/>
  <c r="J9" i="5"/>
  <c r="J10" i="5"/>
  <c r="J11" i="5"/>
  <c r="J12" i="5"/>
  <c r="J13" i="5"/>
  <c r="J14" i="5"/>
  <c r="J15" i="5"/>
  <c r="J16" i="5"/>
  <c r="J17" i="5"/>
  <c r="J4" i="5"/>
  <c r="J18" i="5"/>
  <c r="H19" i="5"/>
  <c r="H18" i="5"/>
  <c r="J19" i="5"/>
  <c r="I12" i="5"/>
  <c r="K12" i="5"/>
  <c r="I60" i="5"/>
  <c r="I59" i="5"/>
  <c r="I58" i="5"/>
  <c r="I57" i="5"/>
  <c r="I56" i="5"/>
  <c r="I55" i="5"/>
  <c r="I54" i="5"/>
  <c r="I53" i="5"/>
  <c r="I52" i="5"/>
  <c r="I51" i="5"/>
  <c r="I50" i="5"/>
  <c r="I49" i="5"/>
  <c r="I48" i="5"/>
  <c r="I47" i="5"/>
  <c r="I46" i="5"/>
  <c r="I45" i="5"/>
  <c r="I44" i="5"/>
  <c r="I9" i="5"/>
  <c r="K9" i="5"/>
  <c r="I4" i="5"/>
  <c r="I6" i="5"/>
  <c r="K6" i="5"/>
  <c r="I11" i="5"/>
  <c r="K11" i="5"/>
  <c r="I5" i="5"/>
  <c r="K5" i="5"/>
  <c r="I13" i="5"/>
  <c r="K13" i="5"/>
  <c r="I17" i="5"/>
  <c r="K17" i="5"/>
  <c r="I10" i="5"/>
  <c r="K10" i="5"/>
  <c r="I14" i="5"/>
  <c r="K14" i="5"/>
  <c r="I15" i="5"/>
  <c r="K15" i="5"/>
  <c r="I8" i="5"/>
  <c r="K8" i="5"/>
  <c r="I16" i="5"/>
  <c r="K16" i="5"/>
  <c r="I7" i="5"/>
  <c r="K7" i="5"/>
  <c r="AO106" i="2"/>
  <c r="AN106" i="2"/>
  <c r="K4" i="5"/>
  <c r="AQ62" i="2"/>
  <c r="AQ63" i="2"/>
  <c r="AQ64" i="2"/>
  <c r="AQ65" i="2"/>
  <c r="AQ66" i="2"/>
  <c r="AQ67" i="2"/>
  <c r="AQ68" i="2"/>
  <c r="AQ70" i="2"/>
  <c r="AQ71" i="2"/>
  <c r="AQ72" i="2"/>
  <c r="AQ73" i="2"/>
  <c r="AQ74" i="2"/>
  <c r="AQ75" i="2"/>
  <c r="AQ76" i="2"/>
  <c r="AQ77" i="2"/>
  <c r="AQ69" i="2"/>
  <c r="AQ61" i="2"/>
  <c r="AQ55" i="2"/>
  <c r="AQ56" i="2"/>
  <c r="AQ57" i="2"/>
  <c r="AQ58" i="2"/>
  <c r="AQ59" i="2"/>
  <c r="AQ60" i="2"/>
  <c r="AQ54" i="2"/>
  <c r="AR53" i="2"/>
  <c r="AR61" i="2"/>
  <c r="W54" i="2"/>
  <c r="V56" i="2"/>
  <c r="V55" i="2"/>
  <c r="W55" i="2"/>
  <c r="D204" i="2"/>
  <c r="C204" i="2"/>
  <c r="B205" i="2"/>
  <c r="F768" i="2"/>
  <c r="B770" i="2"/>
  <c r="F770" i="2"/>
  <c r="B769" i="2"/>
  <c r="F769" i="2"/>
  <c r="D768" i="2"/>
  <c r="C768" i="2"/>
  <c r="C769" i="2"/>
  <c r="D769" i="2"/>
  <c r="D770" i="2"/>
  <c r="B747" i="2"/>
  <c r="B748" i="2"/>
  <c r="B749" i="2"/>
  <c r="B750" i="2"/>
  <c r="B751" i="2"/>
  <c r="B752" i="2"/>
  <c r="B753" i="2"/>
  <c r="B754" i="2"/>
  <c r="B755" i="2"/>
  <c r="B756" i="2"/>
  <c r="B757" i="2"/>
  <c r="B758" i="2"/>
  <c r="B759" i="2"/>
  <c r="B760" i="2"/>
  <c r="B761" i="2"/>
  <c r="B762" i="2"/>
  <c r="B763" i="2"/>
  <c r="B764" i="2"/>
  <c r="B765" i="2"/>
  <c r="E680" i="2"/>
  <c r="G680" i="2"/>
  <c r="E553" i="2"/>
  <c r="G553" i="2"/>
  <c r="D681" i="2"/>
  <c r="E681" i="2"/>
  <c r="D554" i="2"/>
  <c r="D536" i="2"/>
  <c r="E536" i="2"/>
  <c r="D537" i="2"/>
  <c r="E537" i="2"/>
  <c r="D538" i="2"/>
  <c r="E538" i="2"/>
  <c r="D539" i="2"/>
  <c r="E539" i="2"/>
  <c r="D540" i="2"/>
  <c r="E540" i="2"/>
  <c r="D541" i="2"/>
  <c r="E541" i="2"/>
  <c r="D542" i="2"/>
  <c r="E542" i="2"/>
  <c r="D543" i="2"/>
  <c r="E543" i="2"/>
  <c r="D544" i="2"/>
  <c r="E544" i="2"/>
  <c r="E535" i="2"/>
  <c r="D535" i="2"/>
  <c r="B535" i="2"/>
  <c r="B536" i="2"/>
  <c r="B537" i="2"/>
  <c r="B538" i="2"/>
  <c r="B539" i="2"/>
  <c r="B540" i="2"/>
  <c r="B541" i="2"/>
  <c r="B542" i="2"/>
  <c r="B543" i="2"/>
  <c r="B544" i="2"/>
  <c r="D682" i="2"/>
  <c r="E682" i="2"/>
  <c r="F680" i="2"/>
  <c r="H470" i="2"/>
  <c r="G470" i="2"/>
  <c r="E471" i="2"/>
  <c r="G471" i="2"/>
  <c r="A468" i="2"/>
  <c r="A469" i="2"/>
  <c r="A470" i="2"/>
  <c r="A471" i="2"/>
  <c r="A472" i="2"/>
  <c r="A473" i="2"/>
  <c r="A474" i="2"/>
  <c r="A475" i="2"/>
  <c r="A476" i="2"/>
  <c r="A477" i="2"/>
  <c r="A478" i="2"/>
  <c r="A479" i="2"/>
  <c r="A480" i="2"/>
  <c r="A481" i="2"/>
  <c r="A482" i="2"/>
  <c r="A483" i="2"/>
  <c r="C466" i="2"/>
  <c r="D466" i="2"/>
  <c r="E466" i="2"/>
  <c r="F466" i="2"/>
  <c r="G466" i="2"/>
  <c r="H466" i="2"/>
  <c r="I466" i="2"/>
  <c r="J466" i="2"/>
  <c r="K466" i="2"/>
  <c r="L466" i="2"/>
  <c r="M466" i="2"/>
  <c r="N466" i="2"/>
  <c r="O466" i="2"/>
  <c r="P466" i="2"/>
  <c r="O364" i="2"/>
  <c r="Q364" i="2"/>
  <c r="C364" i="2"/>
  <c r="K363" i="2"/>
  <c r="K365" i="2"/>
  <c r="D363" i="2"/>
  <c r="B365" i="2"/>
  <c r="B366" i="2"/>
  <c r="E472" i="2"/>
  <c r="F472" i="2"/>
  <c r="D364" i="2"/>
  <c r="E363" i="2"/>
  <c r="BA300" i="2"/>
  <c r="AM300" i="2"/>
  <c r="AO299" i="2"/>
  <c r="AO300" i="2"/>
  <c r="AN299" i="2"/>
  <c r="C296" i="2"/>
  <c r="B296" i="2"/>
  <c r="G296" i="2"/>
  <c r="B297" i="2"/>
  <c r="F297" i="2"/>
  <c r="S57" i="2"/>
  <c r="S58" i="2"/>
  <c r="S56" i="2"/>
  <c r="C297" i="2"/>
  <c r="F296" i="2"/>
  <c r="G297" i="2"/>
  <c r="U296" i="2"/>
  <c r="AP299" i="2"/>
  <c r="AQ299" i="2"/>
  <c r="AN300" i="2"/>
  <c r="E364" i="2"/>
  <c r="F363" i="2"/>
  <c r="AL301" i="2"/>
  <c r="BA301" i="2"/>
  <c r="H53" i="2"/>
  <c r="AM301" i="2"/>
  <c r="AO301" i="2"/>
  <c r="F365" i="2"/>
  <c r="G94" i="2"/>
  <c r="N114" i="2"/>
  <c r="M101" i="2"/>
  <c r="N101" i="2"/>
  <c r="M102" i="2"/>
  <c r="N102" i="2"/>
  <c r="P102" i="2"/>
  <c r="Q102" i="2"/>
  <c r="M100" i="2"/>
  <c r="N100" i="2"/>
  <c r="C94" i="2"/>
  <c r="B95" i="2"/>
  <c r="G95" i="2"/>
  <c r="C95" i="2"/>
  <c r="I95" i="2"/>
  <c r="J95" i="2"/>
  <c r="J94" i="2"/>
  <c r="AB86" i="2"/>
  <c r="AA87" i="2"/>
  <c r="AB87" i="2"/>
  <c r="AC85" i="2"/>
  <c r="AC86" i="2"/>
  <c r="B96" i="2"/>
  <c r="G96" i="2"/>
  <c r="F94" i="2"/>
  <c r="D94" i="2"/>
  <c r="E53" i="2"/>
  <c r="B54" i="2"/>
  <c r="C96" i="2"/>
  <c r="D95" i="2"/>
  <c r="B55" i="2"/>
  <c r="B56" i="2"/>
  <c r="F5" i="2"/>
  <c r="F19" i="2"/>
  <c r="F7" i="2"/>
  <c r="B7" i="2"/>
  <c r="F8" i="2"/>
  <c r="B8" i="2"/>
  <c r="F9" i="2"/>
  <c r="B9" i="2"/>
  <c r="F10" i="2"/>
  <c r="B10" i="2"/>
  <c r="F11" i="2"/>
  <c r="F12" i="2"/>
  <c r="F13" i="2"/>
  <c r="G14" i="2"/>
  <c r="F14" i="2"/>
  <c r="F15" i="2"/>
  <c r="F16" i="2"/>
  <c r="F17" i="2"/>
  <c r="G17" i="2"/>
  <c r="F18" i="2"/>
  <c r="F6" i="2"/>
  <c r="B6" i="2"/>
  <c r="G8" i="2"/>
  <c r="F174" i="2"/>
  <c r="F175" i="2"/>
  <c r="E174" i="2"/>
  <c r="E175" i="2"/>
  <c r="F176" i="2"/>
  <c r="E176" i="2"/>
  <c r="F177" i="2"/>
  <c r="E177" i="2"/>
  <c r="F178" i="2"/>
  <c r="E178" i="2"/>
  <c r="F179" i="2"/>
  <c r="E179" i="2"/>
  <c r="F180" i="2"/>
  <c r="E180" i="2"/>
  <c r="F181" i="2"/>
  <c r="E181" i="2"/>
  <c r="F182" i="2"/>
  <c r="E182" i="2"/>
  <c r="F183" i="2"/>
  <c r="E183" i="2"/>
  <c r="F184" i="2"/>
  <c r="E184" i="2"/>
  <c r="F185" i="2"/>
  <c r="E185" i="2"/>
  <c r="F186" i="2"/>
  <c r="E186" i="2"/>
  <c r="F187" i="2"/>
  <c r="E187" i="2"/>
  <c r="F188" i="2"/>
  <c r="E188" i="2"/>
  <c r="F189" i="2"/>
  <c r="E189" i="2"/>
  <c r="F190" i="2"/>
  <c r="E190" i="2"/>
  <c r="F191" i="2"/>
  <c r="E191" i="2"/>
  <c r="F192" i="2"/>
  <c r="F193" i="2"/>
  <c r="E192" i="2"/>
  <c r="E193" i="2"/>
  <c r="F194" i="2"/>
  <c r="E194" i="2"/>
  <c r="E195" i="2"/>
  <c r="F195" i="2"/>
  <c r="F196" i="2"/>
  <c r="E196" i="2"/>
  <c r="F197" i="2"/>
  <c r="E197" i="2"/>
  <c r="E198" i="2"/>
  <c r="F198" i="2"/>
  <c r="E199" i="2"/>
  <c r="F199" i="2"/>
  <c r="E200" i="2"/>
  <c r="F200" i="2"/>
  <c r="E201" i="2"/>
  <c r="F201" i="2"/>
  <c r="P100" i="2"/>
  <c r="Q100" i="2"/>
  <c r="O100" i="2"/>
  <c r="O102" i="2"/>
  <c r="D54" i="2"/>
  <c r="H54" i="2"/>
  <c r="E54" i="2"/>
  <c r="AC87" i="2"/>
  <c r="AR299" i="2"/>
  <c r="AS299" i="2"/>
  <c r="AQ301" i="2"/>
  <c r="AR301" i="2"/>
  <c r="Z17" i="15"/>
  <c r="V17" i="15"/>
  <c r="T19" i="15"/>
  <c r="Y18" i="15"/>
  <c r="U18" i="15"/>
  <c r="O101" i="2"/>
  <c r="P101" i="2"/>
  <c r="Q101" i="2"/>
  <c r="AR54" i="2"/>
  <c r="AR58" i="2"/>
  <c r="AR69" i="2"/>
  <c r="AR75" i="2"/>
  <c r="AR71" i="2"/>
  <c r="AR68" i="2"/>
  <c r="K18" i="5"/>
  <c r="AR300" i="2"/>
  <c r="AQ300" i="2"/>
  <c r="D96" i="2"/>
  <c r="F96" i="2"/>
  <c r="F95" i="2"/>
  <c r="AL302" i="2"/>
  <c r="AP302" i="2"/>
  <c r="AN301" i="2"/>
  <c r="AP301" i="2"/>
  <c r="B298" i="2"/>
  <c r="F366" i="2"/>
  <c r="D683" i="2"/>
  <c r="E683" i="2"/>
  <c r="C770" i="2"/>
  <c r="K19" i="5"/>
  <c r="AS53" i="2"/>
  <c r="AR60" i="2"/>
  <c r="AR56" i="2"/>
  <c r="AR77" i="2"/>
  <c r="AR73" i="2"/>
  <c r="N31" i="6"/>
  <c r="F22" i="8"/>
  <c r="E55" i="8"/>
  <c r="AT299" i="2"/>
  <c r="AS300" i="2"/>
  <c r="AS301" i="2"/>
  <c r="D56" i="2"/>
  <c r="B57" i="2"/>
  <c r="H56" i="2"/>
  <c r="E56" i="2"/>
  <c r="G7" i="2"/>
  <c r="C366" i="2"/>
  <c r="D366" i="2"/>
  <c r="E366" i="2"/>
  <c r="B367" i="2"/>
  <c r="K366" i="2"/>
  <c r="F682" i="2"/>
  <c r="G682" i="2"/>
  <c r="G9" i="2"/>
  <c r="G10" i="2"/>
  <c r="H55" i="2"/>
  <c r="D55" i="2"/>
  <c r="E55" i="2"/>
  <c r="G683" i="2"/>
  <c r="F683" i="2"/>
  <c r="G681" i="2"/>
  <c r="F681" i="2"/>
  <c r="B97" i="2"/>
  <c r="AD85" i="2"/>
  <c r="AA88" i="2"/>
  <c r="I96" i="2"/>
  <c r="B299" i="2"/>
  <c r="G363" i="2"/>
  <c r="F367" i="2"/>
  <c r="F364" i="2"/>
  <c r="C298" i="2"/>
  <c r="AP300" i="2"/>
  <c r="E365" i="2"/>
  <c r="E473" i="2"/>
  <c r="D684" i="2"/>
  <c r="U297" i="2"/>
  <c r="D365" i="2"/>
  <c r="S364" i="2"/>
  <c r="O365" i="2"/>
  <c r="K364" i="2"/>
  <c r="C365" i="2"/>
  <c r="G472" i="2"/>
  <c r="H471" i="2"/>
  <c r="F471" i="2"/>
  <c r="D555" i="2"/>
  <c r="F553" i="2"/>
  <c r="H472" i="2"/>
  <c r="E554" i="2"/>
  <c r="B771" i="2"/>
  <c r="B206" i="2"/>
  <c r="D205" i="2"/>
  <c r="C205" i="2"/>
  <c r="W56" i="2"/>
  <c r="V57" i="2"/>
  <c r="AS62" i="2"/>
  <c r="AS64" i="2"/>
  <c r="AS66" i="2"/>
  <c r="AS68" i="2"/>
  <c r="AS61" i="2"/>
  <c r="AS71" i="2"/>
  <c r="AS73" i="2"/>
  <c r="AS75" i="2"/>
  <c r="AS77" i="2"/>
  <c r="AS69" i="2"/>
  <c r="AS56" i="2"/>
  <c r="AS58" i="2"/>
  <c r="AS60" i="2"/>
  <c r="AS54" i="2"/>
  <c r="AT53" i="2"/>
  <c r="AS59" i="2"/>
  <c r="AS57" i="2"/>
  <c r="AS55" i="2"/>
  <c r="AS76" i="2"/>
  <c r="AS74" i="2"/>
  <c r="AS72" i="2"/>
  <c r="AS70" i="2"/>
  <c r="AS67" i="2"/>
  <c r="AS65" i="2"/>
  <c r="AS63" i="2"/>
  <c r="J20" i="5"/>
  <c r="I18" i="5"/>
  <c r="I19" i="5"/>
  <c r="AR63" i="2"/>
  <c r="AR65" i="2"/>
  <c r="AR67" i="2"/>
  <c r="AR59" i="2"/>
  <c r="AR57" i="2"/>
  <c r="AR55" i="2"/>
  <c r="AR76" i="2"/>
  <c r="AR74" i="2"/>
  <c r="AR72" i="2"/>
  <c r="AR70" i="2"/>
  <c r="AR66" i="2"/>
  <c r="AR64" i="2"/>
  <c r="AR62" i="2"/>
  <c r="H4" i="6"/>
  <c r="F5" i="6"/>
  <c r="AB475" i="2"/>
  <c r="AC474" i="2"/>
  <c r="S15" i="6"/>
  <c r="S16" i="6"/>
  <c r="S17" i="6"/>
  <c r="S18" i="6"/>
  <c r="S19" i="6"/>
  <c r="T14" i="6"/>
  <c r="T15" i="6"/>
  <c r="T16" i="6"/>
  <c r="X17" i="6"/>
  <c r="W17" i="6"/>
  <c r="AO22" i="6"/>
  <c r="AO23" i="6"/>
  <c r="AN24" i="6"/>
  <c r="AD473" i="2"/>
  <c r="AD474" i="2"/>
  <c r="AE472" i="2"/>
  <c r="AI366" i="2"/>
  <c r="AK366" i="2"/>
  <c r="AM366" i="2"/>
  <c r="AO366" i="2"/>
  <c r="AH367" i="2"/>
  <c r="AN366" i="2"/>
  <c r="AJ366" i="2"/>
  <c r="AL366" i="2"/>
  <c r="AY5" i="6"/>
  <c r="BA4" i="6"/>
  <c r="D13" i="8"/>
  <c r="E13" i="8"/>
  <c r="F4" i="8"/>
  <c r="D51" i="8"/>
  <c r="D58" i="8"/>
  <c r="F51" i="8"/>
  <c r="E51" i="8"/>
  <c r="E58" i="8"/>
  <c r="G21" i="8"/>
  <c r="E24" i="8"/>
  <c r="F20" i="8"/>
  <c r="G20" i="8"/>
  <c r="G22" i="8"/>
  <c r="F58" i="8"/>
  <c r="F53" i="8"/>
  <c r="D53" i="8"/>
  <c r="C53" i="8"/>
  <c r="C58" i="8"/>
  <c r="D55" i="8"/>
  <c r="G56" i="8"/>
  <c r="Z18" i="15"/>
  <c r="V18" i="15"/>
  <c r="T20" i="15"/>
  <c r="Y19" i="15"/>
  <c r="U19" i="15"/>
  <c r="AS302" i="2"/>
  <c r="G298" i="2"/>
  <c r="F298" i="2"/>
  <c r="U298" i="2"/>
  <c r="AM302" i="2"/>
  <c r="AN302" i="2"/>
  <c r="BA302" i="2"/>
  <c r="AO302" i="2"/>
  <c r="AL303" i="2"/>
  <c r="AR302" i="2"/>
  <c r="AQ302" i="2"/>
  <c r="F13" i="8"/>
  <c r="G4" i="8"/>
  <c r="G13" i="8"/>
  <c r="F57" i="8"/>
  <c r="D57" i="8"/>
  <c r="C57" i="8"/>
  <c r="E57" i="8"/>
  <c r="AY6" i="6"/>
  <c r="BA5" i="6"/>
  <c r="AJ367" i="2"/>
  <c r="AL367" i="2"/>
  <c r="AN367" i="2"/>
  <c r="AI367" i="2"/>
  <c r="AM367" i="2"/>
  <c r="AH368" i="2"/>
  <c r="AK367" i="2"/>
  <c r="AO367" i="2"/>
  <c r="AE474" i="2"/>
  <c r="AE475" i="2"/>
  <c r="AF472" i="2"/>
  <c r="AE473" i="2"/>
  <c r="V18" i="6"/>
  <c r="V19" i="6"/>
  <c r="J22" i="5"/>
  <c r="K20" i="5"/>
  <c r="V58" i="2"/>
  <c r="W57" i="2"/>
  <c r="C206" i="2"/>
  <c r="B207" i="2"/>
  <c r="D206" i="2"/>
  <c r="G554" i="2"/>
  <c r="F554" i="2"/>
  <c r="I473" i="2"/>
  <c r="G473" i="2"/>
  <c r="E474" i="2"/>
  <c r="F473" i="2"/>
  <c r="H473" i="2"/>
  <c r="G365" i="2"/>
  <c r="G366" i="2"/>
  <c r="G367" i="2"/>
  <c r="G364" i="2"/>
  <c r="H363" i="2"/>
  <c r="I97" i="2"/>
  <c r="J96" i="2"/>
  <c r="AD86" i="2"/>
  <c r="AE85" i="2"/>
  <c r="AD87" i="2"/>
  <c r="K367" i="2"/>
  <c r="D367" i="2"/>
  <c r="C367" i="2"/>
  <c r="E367" i="2"/>
  <c r="B368" i="2"/>
  <c r="S20" i="6"/>
  <c r="AB476" i="2"/>
  <c r="AC475" i="2"/>
  <c r="AD475" i="2"/>
  <c r="F6" i="6"/>
  <c r="H5" i="6"/>
  <c r="AT63" i="2"/>
  <c r="AT65" i="2"/>
  <c r="AT67" i="2"/>
  <c r="AT70" i="2"/>
  <c r="AT72" i="2"/>
  <c r="AT74" i="2"/>
  <c r="AT76" i="2"/>
  <c r="AT55" i="2"/>
  <c r="AT57" i="2"/>
  <c r="AT59" i="2"/>
  <c r="AT68" i="2"/>
  <c r="AT61" i="2"/>
  <c r="AT71" i="2"/>
  <c r="AT73" i="2"/>
  <c r="AT75" i="2"/>
  <c r="AT77" i="2"/>
  <c r="AT69" i="2"/>
  <c r="AT56" i="2"/>
  <c r="AT58" i="2"/>
  <c r="AT60" i="2"/>
  <c r="AT54" i="2"/>
  <c r="AU53" i="2"/>
  <c r="AT62" i="2"/>
  <c r="AT64" i="2"/>
  <c r="AT66" i="2"/>
  <c r="F771" i="2"/>
  <c r="B772" i="2"/>
  <c r="C771" i="2"/>
  <c r="D771" i="2"/>
  <c r="D556" i="2"/>
  <c r="E555" i="2"/>
  <c r="Q365" i="2"/>
  <c r="O366" i="2"/>
  <c r="S365" i="2"/>
  <c r="E684" i="2"/>
  <c r="D685" i="2"/>
  <c r="G299" i="2"/>
  <c r="U299" i="2"/>
  <c r="D299" i="2"/>
  <c r="C299" i="2"/>
  <c r="F299" i="2"/>
  <c r="B300" i="2"/>
  <c r="AE88" i="2"/>
  <c r="AB88" i="2"/>
  <c r="AD88" i="2"/>
  <c r="AC88" i="2"/>
  <c r="AA89" i="2"/>
  <c r="G97" i="2"/>
  <c r="C97" i="2"/>
  <c r="F97" i="2"/>
  <c r="D97" i="2"/>
  <c r="B98" i="2"/>
  <c r="D57" i="2"/>
  <c r="E57" i="2"/>
  <c r="H57" i="2"/>
  <c r="B58" i="2"/>
  <c r="AT301" i="2"/>
  <c r="AT302" i="2"/>
  <c r="AU299" i="2"/>
  <c r="AT303" i="2"/>
  <c r="AT300" i="2"/>
  <c r="Z19" i="15"/>
  <c r="V19" i="15"/>
  <c r="T21" i="15"/>
  <c r="Y20" i="15"/>
  <c r="U20" i="15"/>
  <c r="AM303" i="2"/>
  <c r="AN303" i="2"/>
  <c r="AQ303" i="2"/>
  <c r="AL304" i="2"/>
  <c r="AR303" i="2"/>
  <c r="BA303" i="2"/>
  <c r="AO303" i="2"/>
  <c r="AS303" i="2"/>
  <c r="AP303" i="2"/>
  <c r="AV299" i="2"/>
  <c r="AU304" i="2"/>
  <c r="AU303" i="2"/>
  <c r="AU302" i="2"/>
  <c r="AU301" i="2"/>
  <c r="AU300" i="2"/>
  <c r="F98" i="2"/>
  <c r="C98" i="2"/>
  <c r="B99" i="2"/>
  <c r="G98" i="2"/>
  <c r="D98" i="2"/>
  <c r="G300" i="2"/>
  <c r="F300" i="2"/>
  <c r="B301" i="2"/>
  <c r="U300" i="2"/>
  <c r="D300" i="2"/>
  <c r="C300" i="2"/>
  <c r="E685" i="2"/>
  <c r="D686" i="2"/>
  <c r="E556" i="2"/>
  <c r="D557" i="2"/>
  <c r="F772" i="2"/>
  <c r="B773" i="2"/>
  <c r="C772" i="2"/>
  <c r="D772" i="2"/>
  <c r="F7" i="6"/>
  <c r="G6" i="6"/>
  <c r="C368" i="2"/>
  <c r="D368" i="2"/>
  <c r="F368" i="2"/>
  <c r="E368" i="2"/>
  <c r="B369" i="2"/>
  <c r="K368" i="2"/>
  <c r="AF85" i="2"/>
  <c r="AE86" i="2"/>
  <c r="AE87" i="2"/>
  <c r="H366" i="2"/>
  <c r="H365" i="2"/>
  <c r="H369" i="2"/>
  <c r="I363" i="2"/>
  <c r="H368" i="2"/>
  <c r="H364" i="2"/>
  <c r="H367" i="2"/>
  <c r="C207" i="2"/>
  <c r="B208" i="2"/>
  <c r="D207" i="2"/>
  <c r="AI368" i="2"/>
  <c r="AK368" i="2"/>
  <c r="AM368" i="2"/>
  <c r="AO368" i="2"/>
  <c r="AJ368" i="2"/>
  <c r="AN368" i="2"/>
  <c r="AL368" i="2"/>
  <c r="AH369" i="2"/>
  <c r="B59" i="2"/>
  <c r="D58" i="2"/>
  <c r="H58" i="2"/>
  <c r="E58" i="2"/>
  <c r="AD89" i="2"/>
  <c r="AA90" i="2"/>
  <c r="AC89" i="2"/>
  <c r="AB89" i="2"/>
  <c r="AE89" i="2"/>
  <c r="AF89" i="2"/>
  <c r="G684" i="2"/>
  <c r="F684" i="2"/>
  <c r="O367" i="2"/>
  <c r="S366" i="2"/>
  <c r="Q366" i="2"/>
  <c r="G555" i="2"/>
  <c r="F555" i="2"/>
  <c r="AU62" i="2"/>
  <c r="AU64" i="2"/>
  <c r="AU66" i="2"/>
  <c r="AU63" i="2"/>
  <c r="AU65" i="2"/>
  <c r="AU68" i="2"/>
  <c r="AU61" i="2"/>
  <c r="AU71" i="2"/>
  <c r="AU73" i="2"/>
  <c r="AU75" i="2"/>
  <c r="AU77" i="2"/>
  <c r="AU69" i="2"/>
  <c r="AU56" i="2"/>
  <c r="AU58" i="2"/>
  <c r="AU60" i="2"/>
  <c r="AU54" i="2"/>
  <c r="AV53" i="2"/>
  <c r="AU67" i="2"/>
  <c r="AU70" i="2"/>
  <c r="AU72" i="2"/>
  <c r="AU74" i="2"/>
  <c r="AU76" i="2"/>
  <c r="AU55" i="2"/>
  <c r="AU57" i="2"/>
  <c r="AU59" i="2"/>
  <c r="AC476" i="2"/>
  <c r="AD476" i="2"/>
  <c r="AB477" i="2"/>
  <c r="J97" i="2"/>
  <c r="I98" i="2"/>
  <c r="G368" i="2"/>
  <c r="F474" i="2"/>
  <c r="H474" i="2"/>
  <c r="G474" i="2"/>
  <c r="I474" i="2"/>
  <c r="E475" i="2"/>
  <c r="W58" i="2"/>
  <c r="V59" i="2"/>
  <c r="AE476" i="2"/>
  <c r="AG472" i="2"/>
  <c r="AF474" i="2"/>
  <c r="AF475" i="2"/>
  <c r="AF476" i="2"/>
  <c r="AF473" i="2"/>
  <c r="AY7" i="6"/>
  <c r="AZ6" i="6"/>
  <c r="Z20" i="15"/>
  <c r="V20" i="15"/>
  <c r="T22" i="15"/>
  <c r="Y21" i="15"/>
  <c r="U21" i="15"/>
  <c r="AS304" i="2"/>
  <c r="AR304" i="2"/>
  <c r="AN304" i="2"/>
  <c r="BA304" i="2"/>
  <c r="AQ304" i="2"/>
  <c r="AT304" i="2"/>
  <c r="AM304" i="2"/>
  <c r="AP304" i="2"/>
  <c r="AO304" i="2"/>
  <c r="AL305" i="2"/>
  <c r="AY8" i="6"/>
  <c r="AZ7" i="6"/>
  <c r="I99" i="2"/>
  <c r="J98" i="2"/>
  <c r="AB478" i="2"/>
  <c r="AC477" i="2"/>
  <c r="AD477" i="2"/>
  <c r="AE477" i="2"/>
  <c r="Q367" i="2"/>
  <c r="O368" i="2"/>
  <c r="S367" i="2"/>
  <c r="AC90" i="2"/>
  <c r="AF90" i="2"/>
  <c r="AB90" i="2"/>
  <c r="AD90" i="2"/>
  <c r="AE90" i="2"/>
  <c r="AA91" i="2"/>
  <c r="AF477" i="2"/>
  <c r="AV63" i="2"/>
  <c r="AV65" i="2"/>
  <c r="AV62" i="2"/>
  <c r="AV64" i="2"/>
  <c r="AV66" i="2"/>
  <c r="AV67" i="2"/>
  <c r="AV70" i="2"/>
  <c r="AV72" i="2"/>
  <c r="AV74" i="2"/>
  <c r="AV76" i="2"/>
  <c r="AV55" i="2"/>
  <c r="AV57" i="2"/>
  <c r="AV59" i="2"/>
  <c r="AV68" i="2"/>
  <c r="AV61" i="2"/>
  <c r="AV71" i="2"/>
  <c r="AV73" i="2"/>
  <c r="AV75" i="2"/>
  <c r="AV77" i="2"/>
  <c r="AV69" i="2"/>
  <c r="AV56" i="2"/>
  <c r="AV58" i="2"/>
  <c r="AV60" i="2"/>
  <c r="AV54" i="2"/>
  <c r="AW53" i="2"/>
  <c r="AJ369" i="2"/>
  <c r="AL369" i="2"/>
  <c r="AN369" i="2"/>
  <c r="AK369" i="2"/>
  <c r="AO369" i="2"/>
  <c r="AH370" i="2"/>
  <c r="AI369" i="2"/>
  <c r="AM369" i="2"/>
  <c r="AG85" i="2"/>
  <c r="AF86" i="2"/>
  <c r="AF87" i="2"/>
  <c r="AF88" i="2"/>
  <c r="F369" i="2"/>
  <c r="B370" i="2"/>
  <c r="K369" i="2"/>
  <c r="E369" i="2"/>
  <c r="C369" i="2"/>
  <c r="D369" i="2"/>
  <c r="G369" i="2"/>
  <c r="F8" i="6"/>
  <c r="G7" i="6"/>
  <c r="E557" i="2"/>
  <c r="D558" i="2"/>
  <c r="F685" i="2"/>
  <c r="G685" i="2"/>
  <c r="G301" i="2"/>
  <c r="F301" i="2"/>
  <c r="B302" i="2"/>
  <c r="U301" i="2"/>
  <c r="C301" i="2"/>
  <c r="D301" i="2"/>
  <c r="AV301" i="2"/>
  <c r="AV305" i="2"/>
  <c r="AV300" i="2"/>
  <c r="AW299" i="2"/>
  <c r="AV303" i="2"/>
  <c r="AV304" i="2"/>
  <c r="AV302" i="2"/>
  <c r="AG473" i="2"/>
  <c r="AG475" i="2"/>
  <c r="AG477" i="2"/>
  <c r="AH472" i="2"/>
  <c r="AG476" i="2"/>
  <c r="AG474" i="2"/>
  <c r="AG478" i="2"/>
  <c r="W59" i="2"/>
  <c r="V60" i="2"/>
  <c r="F475" i="2"/>
  <c r="H475" i="2"/>
  <c r="G475" i="2"/>
  <c r="I475" i="2"/>
  <c r="E476" i="2"/>
  <c r="E59" i="2"/>
  <c r="D59" i="2"/>
  <c r="H59" i="2"/>
  <c r="B60" i="2"/>
  <c r="C208" i="2"/>
  <c r="D208" i="2"/>
  <c r="B209" i="2"/>
  <c r="I367" i="2"/>
  <c r="I368" i="2"/>
  <c r="J363" i="2"/>
  <c r="I365" i="2"/>
  <c r="I369" i="2"/>
  <c r="I366" i="2"/>
  <c r="I370" i="2"/>
  <c r="I364" i="2"/>
  <c r="B774" i="2"/>
  <c r="F773" i="2"/>
  <c r="D773" i="2"/>
  <c r="C773" i="2"/>
  <c r="G556" i="2"/>
  <c r="F556" i="2"/>
  <c r="E686" i="2"/>
  <c r="D687" i="2"/>
  <c r="G99" i="2"/>
  <c r="F99" i="2"/>
  <c r="D99" i="2"/>
  <c r="B100" i="2"/>
  <c r="C99" i="2"/>
  <c r="Z21" i="15"/>
  <c r="V21" i="15"/>
  <c r="T23" i="15"/>
  <c r="Y22" i="15"/>
  <c r="U22" i="15"/>
  <c r="AT305" i="2"/>
  <c r="AU305" i="2"/>
  <c r="AO305" i="2"/>
  <c r="AR305" i="2"/>
  <c r="AN305" i="2"/>
  <c r="AL306" i="2"/>
  <c r="BA305" i="2"/>
  <c r="AP305" i="2"/>
  <c r="AM305" i="2"/>
  <c r="AQ305" i="2"/>
  <c r="AS305" i="2"/>
  <c r="F686" i="2"/>
  <c r="G686" i="2"/>
  <c r="C100" i="2"/>
  <c r="D100" i="2"/>
  <c r="G100" i="2"/>
  <c r="F100" i="2"/>
  <c r="B101" i="2"/>
  <c r="E687" i="2"/>
  <c r="D688" i="2"/>
  <c r="F774" i="2"/>
  <c r="B775" i="2"/>
  <c r="D774" i="2"/>
  <c r="C774" i="2"/>
  <c r="J368" i="2"/>
  <c r="J365" i="2"/>
  <c r="J369" i="2"/>
  <c r="J366" i="2"/>
  <c r="J370" i="2"/>
  <c r="J364" i="2"/>
  <c r="J367" i="2"/>
  <c r="H60" i="2"/>
  <c r="B61" i="2"/>
  <c r="D60" i="2"/>
  <c r="E60" i="2"/>
  <c r="F476" i="2"/>
  <c r="H476" i="2"/>
  <c r="G476" i="2"/>
  <c r="I476" i="2"/>
  <c r="E477" i="2"/>
  <c r="AH477" i="2"/>
  <c r="AH475" i="2"/>
  <c r="AH473" i="2"/>
  <c r="AH476" i="2"/>
  <c r="AI472" i="2"/>
  <c r="AH478" i="2"/>
  <c r="AH474" i="2"/>
  <c r="D559" i="2"/>
  <c r="E558" i="2"/>
  <c r="G8" i="6"/>
  <c r="F9" i="6"/>
  <c r="B371" i="2"/>
  <c r="J371" i="2"/>
  <c r="K370" i="2"/>
  <c r="E370" i="2"/>
  <c r="C370" i="2"/>
  <c r="D370" i="2"/>
  <c r="F370" i="2"/>
  <c r="G370" i="2"/>
  <c r="H370" i="2"/>
  <c r="AI370" i="2"/>
  <c r="AK370" i="2"/>
  <c r="AM370" i="2"/>
  <c r="AO370" i="2"/>
  <c r="AL370" i="2"/>
  <c r="AH371" i="2"/>
  <c r="AJ370" i="2"/>
  <c r="AN370" i="2"/>
  <c r="AW62" i="2"/>
  <c r="AW64" i="2"/>
  <c r="AW66" i="2"/>
  <c r="AW68" i="2"/>
  <c r="AW61" i="2"/>
  <c r="AW71" i="2"/>
  <c r="AW73" i="2"/>
  <c r="AW75" i="2"/>
  <c r="AW77" i="2"/>
  <c r="AW69" i="2"/>
  <c r="AW56" i="2"/>
  <c r="AW58" i="2"/>
  <c r="AW60" i="2"/>
  <c r="AW54" i="2"/>
  <c r="AX53" i="2"/>
  <c r="AW67" i="2"/>
  <c r="AW70" i="2"/>
  <c r="AW72" i="2"/>
  <c r="AW74" i="2"/>
  <c r="AW76" i="2"/>
  <c r="AW55" i="2"/>
  <c r="AW57" i="2"/>
  <c r="AW59" i="2"/>
  <c r="AW63" i="2"/>
  <c r="AW65" i="2"/>
  <c r="Q368" i="2"/>
  <c r="O369" i="2"/>
  <c r="S368" i="2"/>
  <c r="D209" i="2"/>
  <c r="C209" i="2"/>
  <c r="B210" i="2"/>
  <c r="W60" i="2"/>
  <c r="V61" i="2"/>
  <c r="AX299" i="2"/>
  <c r="AW304" i="2"/>
  <c r="AW305" i="2"/>
  <c r="AW303" i="2"/>
  <c r="AW302" i="2"/>
  <c r="AW306" i="2"/>
  <c r="AW301" i="2"/>
  <c r="AW300" i="2"/>
  <c r="U302" i="2"/>
  <c r="D302" i="2"/>
  <c r="C302" i="2"/>
  <c r="B303" i="2"/>
  <c r="G302" i="2"/>
  <c r="F302" i="2"/>
  <c r="F557" i="2"/>
  <c r="G557" i="2"/>
  <c r="AH85" i="2"/>
  <c r="AG86" i="2"/>
  <c r="AG87" i="2"/>
  <c r="AG88" i="2"/>
  <c r="AG89" i="2"/>
  <c r="AG90" i="2"/>
  <c r="AA92" i="2"/>
  <c r="AD91" i="2"/>
  <c r="AF91" i="2"/>
  <c r="AE91" i="2"/>
  <c r="AC91" i="2"/>
  <c r="AB91" i="2"/>
  <c r="AH91" i="2"/>
  <c r="AG91" i="2"/>
  <c r="AB479" i="2"/>
  <c r="AC478" i="2"/>
  <c r="AD478" i="2"/>
  <c r="AE478" i="2"/>
  <c r="AF478" i="2"/>
  <c r="J99" i="2"/>
  <c r="I100" i="2"/>
  <c r="AY9" i="6"/>
  <c r="AY10" i="6"/>
  <c r="AZ8" i="6"/>
  <c r="Z22" i="15"/>
  <c r="V22" i="15"/>
  <c r="T24" i="15"/>
  <c r="Y23" i="15"/>
  <c r="U23" i="15"/>
  <c r="BA306" i="2"/>
  <c r="AP306" i="2"/>
  <c r="AO306" i="2"/>
  <c r="AL307" i="2"/>
  <c r="AN306" i="2"/>
  <c r="AS306" i="2"/>
  <c r="AT306" i="2"/>
  <c r="AQ306" i="2"/>
  <c r="AM306" i="2"/>
  <c r="AR306" i="2"/>
  <c r="AV306" i="2"/>
  <c r="AU306" i="2"/>
  <c r="J100" i="2"/>
  <c r="I101" i="2"/>
  <c r="AC479" i="2"/>
  <c r="AD479" i="2"/>
  <c r="AB480" i="2"/>
  <c r="AE479" i="2"/>
  <c r="AF479" i="2"/>
  <c r="AG479" i="2"/>
  <c r="C303" i="2"/>
  <c r="F303" i="2"/>
  <c r="G303" i="2"/>
  <c r="U303" i="2"/>
  <c r="D303" i="2"/>
  <c r="B304" i="2"/>
  <c r="AY11" i="6"/>
  <c r="AZ10" i="6"/>
  <c r="AZ25" i="6"/>
  <c r="AZ26" i="6"/>
  <c r="AZ27" i="6"/>
  <c r="AB92" i="2"/>
  <c r="AD92" i="2"/>
  <c r="AA93" i="2"/>
  <c r="AG92" i="2"/>
  <c r="AE92" i="2"/>
  <c r="AC92" i="2"/>
  <c r="AF92" i="2"/>
  <c r="AH92" i="2"/>
  <c r="AI85" i="2"/>
  <c r="AH86" i="2"/>
  <c r="AH87" i="2"/>
  <c r="AH88" i="2"/>
  <c r="AH89" i="2"/>
  <c r="AH90" i="2"/>
  <c r="V62" i="2"/>
  <c r="W61" i="2"/>
  <c r="C210" i="2"/>
  <c r="B211" i="2"/>
  <c r="D210" i="2"/>
  <c r="Q369" i="2"/>
  <c r="O370" i="2"/>
  <c r="S369" i="2"/>
  <c r="AX63" i="2"/>
  <c r="AX65" i="2"/>
  <c r="AX67" i="2"/>
  <c r="AX70" i="2"/>
  <c r="AX72" i="2"/>
  <c r="AX74" i="2"/>
  <c r="AX76" i="2"/>
  <c r="AX55" i="2"/>
  <c r="AX57" i="2"/>
  <c r="AX59" i="2"/>
  <c r="AX62" i="2"/>
  <c r="AX64" i="2"/>
  <c r="AX66" i="2"/>
  <c r="AX68" i="2"/>
  <c r="AX61" i="2"/>
  <c r="AX71" i="2"/>
  <c r="AX73" i="2"/>
  <c r="AX75" i="2"/>
  <c r="AX77" i="2"/>
  <c r="AX69" i="2"/>
  <c r="AX56" i="2"/>
  <c r="AX58" i="2"/>
  <c r="AX60" i="2"/>
  <c r="AX54" i="2"/>
  <c r="AY53" i="2"/>
  <c r="AJ371" i="2"/>
  <c r="AL371" i="2"/>
  <c r="AN371" i="2"/>
  <c r="AI371" i="2"/>
  <c r="AM371" i="2"/>
  <c r="AK371" i="2"/>
  <c r="AO371" i="2"/>
  <c r="AH372" i="2"/>
  <c r="F10" i="6"/>
  <c r="G9" i="6"/>
  <c r="E559" i="2"/>
  <c r="D560" i="2"/>
  <c r="F477" i="2"/>
  <c r="H477" i="2"/>
  <c r="G477" i="2"/>
  <c r="I477" i="2"/>
  <c r="E478" i="2"/>
  <c r="F687" i="2"/>
  <c r="G687" i="2"/>
  <c r="AX301" i="2"/>
  <c r="AX305" i="2"/>
  <c r="AX302" i="2"/>
  <c r="AX304" i="2"/>
  <c r="AY299" i="2"/>
  <c r="AX303" i="2"/>
  <c r="AX307" i="2"/>
  <c r="AX300" i="2"/>
  <c r="AX306" i="2"/>
  <c r="C371" i="2"/>
  <c r="K371" i="2"/>
  <c r="F371" i="2"/>
  <c r="B372" i="2"/>
  <c r="D371" i="2"/>
  <c r="E371" i="2"/>
  <c r="G371" i="2"/>
  <c r="H371" i="2"/>
  <c r="I371" i="2"/>
  <c r="G558" i="2"/>
  <c r="F558" i="2"/>
  <c r="AI479" i="2"/>
  <c r="AI477" i="2"/>
  <c r="AI475" i="2"/>
  <c r="AI473" i="2"/>
  <c r="AJ472" i="2"/>
  <c r="AI480" i="2"/>
  <c r="AI476" i="2"/>
  <c r="AI478" i="2"/>
  <c r="AI474" i="2"/>
  <c r="AH479" i="2"/>
  <c r="C61" i="2"/>
  <c r="D61" i="2"/>
  <c r="E61" i="2"/>
  <c r="H61" i="2"/>
  <c r="B62" i="2"/>
  <c r="F775" i="2"/>
  <c r="B776" i="2"/>
  <c r="D775" i="2"/>
  <c r="C775" i="2"/>
  <c r="E688" i="2"/>
  <c r="D689" i="2"/>
  <c r="G101" i="2"/>
  <c r="F101" i="2"/>
  <c r="B102" i="2"/>
  <c r="C101" i="2"/>
  <c r="D101" i="2"/>
  <c r="Z23" i="15"/>
  <c r="V23" i="15"/>
  <c r="T25" i="15"/>
  <c r="Y24" i="15"/>
  <c r="U24" i="15"/>
  <c r="AV307" i="2"/>
  <c r="AO307" i="2"/>
  <c r="AQ307" i="2"/>
  <c r="AM307" i="2"/>
  <c r="AP307" i="2"/>
  <c r="AS307" i="2"/>
  <c r="AU307" i="2"/>
  <c r="AW307" i="2"/>
  <c r="AN307" i="2"/>
  <c r="AL308" i="2"/>
  <c r="BA307" i="2"/>
  <c r="AR307" i="2"/>
  <c r="AT307" i="2"/>
  <c r="C102" i="2"/>
  <c r="D102" i="2"/>
  <c r="G102" i="2"/>
  <c r="F102" i="2"/>
  <c r="B103" i="2"/>
  <c r="G688" i="2"/>
  <c r="F688" i="2"/>
  <c r="AJ480" i="2"/>
  <c r="AJ478" i="2"/>
  <c r="AJ476" i="2"/>
  <c r="AJ474" i="2"/>
  <c r="AK472" i="2"/>
  <c r="AJ479" i="2"/>
  <c r="AJ475" i="2"/>
  <c r="AJ477" i="2"/>
  <c r="AJ473" i="2"/>
  <c r="B373" i="2"/>
  <c r="K372" i="2"/>
  <c r="E372" i="2"/>
  <c r="C372" i="2"/>
  <c r="D372" i="2"/>
  <c r="F372" i="2"/>
  <c r="G372" i="2"/>
  <c r="H372" i="2"/>
  <c r="I372" i="2"/>
  <c r="J372" i="2"/>
  <c r="AZ299" i="2"/>
  <c r="AY304" i="2"/>
  <c r="AY308" i="2"/>
  <c r="AY303" i="2"/>
  <c r="AY301" i="2"/>
  <c r="AY302" i="2"/>
  <c r="AY306" i="2"/>
  <c r="AY307" i="2"/>
  <c r="AY305" i="2"/>
  <c r="AY300" i="2"/>
  <c r="E560" i="2"/>
  <c r="D561" i="2"/>
  <c r="F11" i="6"/>
  <c r="H10" i="6"/>
  <c r="D211" i="2"/>
  <c r="C211" i="2"/>
  <c r="B212" i="2"/>
  <c r="AY12" i="6"/>
  <c r="AY13" i="6"/>
  <c r="AY14" i="6"/>
  <c r="AY15" i="6"/>
  <c r="AY16" i="6"/>
  <c r="AY17" i="6"/>
  <c r="AY18" i="6"/>
  <c r="AY19" i="6"/>
  <c r="AY20" i="6"/>
  <c r="AY21" i="6"/>
  <c r="AY22" i="6"/>
  <c r="AY23" i="6"/>
  <c r="AY24" i="6"/>
  <c r="BA11" i="6"/>
  <c r="BA25" i="6"/>
  <c r="BA26" i="6"/>
  <c r="BA27" i="6"/>
  <c r="AC480" i="2"/>
  <c r="AB481" i="2"/>
  <c r="AD480" i="2"/>
  <c r="AE480" i="2"/>
  <c r="AF480" i="2"/>
  <c r="AG480" i="2"/>
  <c r="AH480" i="2"/>
  <c r="E689" i="2"/>
  <c r="D690" i="2"/>
  <c r="F776" i="2"/>
  <c r="B777" i="2"/>
  <c r="D776" i="2"/>
  <c r="C776" i="2"/>
  <c r="H62" i="2"/>
  <c r="E62" i="2"/>
  <c r="D62" i="2"/>
  <c r="C62" i="2"/>
  <c r="B63" i="2"/>
  <c r="F478" i="2"/>
  <c r="H478" i="2"/>
  <c r="G478" i="2"/>
  <c r="I478" i="2"/>
  <c r="E479" i="2"/>
  <c r="G559" i="2"/>
  <c r="F559" i="2"/>
  <c r="AI372" i="2"/>
  <c r="AK372" i="2"/>
  <c r="AM372" i="2"/>
  <c r="AO372" i="2"/>
  <c r="AJ372" i="2"/>
  <c r="AN372" i="2"/>
  <c r="AH373" i="2"/>
  <c r="AL372" i="2"/>
  <c r="AY62" i="2"/>
  <c r="AY64" i="2"/>
  <c r="AY66" i="2"/>
  <c r="AY63" i="2"/>
  <c r="AY65" i="2"/>
  <c r="AY68" i="2"/>
  <c r="AY61" i="2"/>
  <c r="AY71" i="2"/>
  <c r="AY73" i="2"/>
  <c r="AY75" i="2"/>
  <c r="AY77" i="2"/>
  <c r="AY69" i="2"/>
  <c r="AY56" i="2"/>
  <c r="AY58" i="2"/>
  <c r="AY60" i="2"/>
  <c r="AY54" i="2"/>
  <c r="AY67" i="2"/>
  <c r="AY70" i="2"/>
  <c r="AY72" i="2"/>
  <c r="AY74" i="2"/>
  <c r="AY76" i="2"/>
  <c r="AY55" i="2"/>
  <c r="AY57" i="2"/>
  <c r="AY59" i="2"/>
  <c r="O371" i="2"/>
  <c r="S370" i="2"/>
  <c r="Q370" i="2"/>
  <c r="W62" i="2"/>
  <c r="V63" i="2"/>
  <c r="AI86" i="2"/>
  <c r="AI87" i="2"/>
  <c r="AJ85" i="2"/>
  <c r="AI88" i="2"/>
  <c r="AI89" i="2"/>
  <c r="AI90" i="2"/>
  <c r="AI91" i="2"/>
  <c r="AI92" i="2"/>
  <c r="AD93" i="2"/>
  <c r="AJ93" i="2"/>
  <c r="AI93" i="2"/>
  <c r="AH93" i="2"/>
  <c r="AB93" i="2"/>
  <c r="AF93" i="2"/>
  <c r="AE93" i="2"/>
  <c r="AG93" i="2"/>
  <c r="AC93" i="2"/>
  <c r="AA94" i="2"/>
  <c r="U304" i="2"/>
  <c r="D304" i="2"/>
  <c r="C304" i="2"/>
  <c r="G304" i="2"/>
  <c r="F304" i="2"/>
  <c r="B305" i="2"/>
  <c r="J101" i="2"/>
  <c r="I102" i="2"/>
  <c r="Z24" i="15"/>
  <c r="V24" i="15"/>
  <c r="T26" i="15"/>
  <c r="Y25" i="15"/>
  <c r="U25" i="15"/>
  <c r="AW308" i="2"/>
  <c r="AN308" i="2"/>
  <c r="AR308" i="2"/>
  <c r="BA308" i="2"/>
  <c r="AQ308" i="2"/>
  <c r="AT308" i="2"/>
  <c r="AV308" i="2"/>
  <c r="AX308" i="2"/>
  <c r="AM308" i="2"/>
  <c r="AP308" i="2"/>
  <c r="AL309" i="2"/>
  <c r="AO308" i="2"/>
  <c r="AS308" i="2"/>
  <c r="AU308" i="2"/>
  <c r="W63" i="2"/>
  <c r="V64" i="2"/>
  <c r="W64" i="2"/>
  <c r="Q371" i="2"/>
  <c r="O372" i="2"/>
  <c r="S371" i="2"/>
  <c r="AJ373" i="2"/>
  <c r="AL373" i="2"/>
  <c r="AN373" i="2"/>
  <c r="AK373" i="2"/>
  <c r="AO373" i="2"/>
  <c r="AI373" i="2"/>
  <c r="AM373" i="2"/>
  <c r="AH374" i="2"/>
  <c r="F689" i="2"/>
  <c r="G689" i="2"/>
  <c r="G560" i="2"/>
  <c r="F560" i="2"/>
  <c r="AZ301" i="2"/>
  <c r="AZ305" i="2"/>
  <c r="AZ309" i="2"/>
  <c r="AZ300" i="2"/>
  <c r="AZ308" i="2"/>
  <c r="AZ306" i="2"/>
  <c r="AZ303" i="2"/>
  <c r="AZ307" i="2"/>
  <c r="AZ304" i="2"/>
  <c r="AZ302" i="2"/>
  <c r="B64" i="2"/>
  <c r="D63" i="2"/>
  <c r="H63" i="2"/>
  <c r="E63" i="2"/>
  <c r="C63" i="2"/>
  <c r="AC481" i="2"/>
  <c r="AB482" i="2"/>
  <c r="AD481" i="2"/>
  <c r="AE481" i="2"/>
  <c r="AF481" i="2"/>
  <c r="AG481" i="2"/>
  <c r="AH481" i="2"/>
  <c r="AI481" i="2"/>
  <c r="B213" i="2"/>
  <c r="C212" i="2"/>
  <c r="D212" i="2"/>
  <c r="B374" i="2"/>
  <c r="K373" i="2"/>
  <c r="E373" i="2"/>
  <c r="C373" i="2"/>
  <c r="D373" i="2"/>
  <c r="F373" i="2"/>
  <c r="G373" i="2"/>
  <c r="H373" i="2"/>
  <c r="I373" i="2"/>
  <c r="J373" i="2"/>
  <c r="AZ28" i="6"/>
  <c r="J102" i="2"/>
  <c r="I103" i="2"/>
  <c r="G305" i="2"/>
  <c r="F305" i="2"/>
  <c r="U305" i="2"/>
  <c r="C305" i="2"/>
  <c r="D305" i="2"/>
  <c r="B306" i="2"/>
  <c r="AA95" i="2"/>
  <c r="AD94" i="2"/>
  <c r="AF94" i="2"/>
  <c r="AE94" i="2"/>
  <c r="AH94" i="2"/>
  <c r="AG94" i="2"/>
  <c r="AI94" i="2"/>
  <c r="AC94" i="2"/>
  <c r="AB94" i="2"/>
  <c r="AJ94" i="2"/>
  <c r="AK85" i="2"/>
  <c r="AJ86" i="2"/>
  <c r="AJ87" i="2"/>
  <c r="AJ88" i="2"/>
  <c r="AJ89" i="2"/>
  <c r="AJ90" i="2"/>
  <c r="AJ91" i="2"/>
  <c r="AJ92" i="2"/>
  <c r="F479" i="2"/>
  <c r="H479" i="2"/>
  <c r="G479" i="2"/>
  <c r="I479" i="2"/>
  <c r="E480" i="2"/>
  <c r="B778" i="2"/>
  <c r="F777" i="2"/>
  <c r="D777" i="2"/>
  <c r="C777" i="2"/>
  <c r="E690" i="2"/>
  <c r="D691" i="2"/>
  <c r="F12" i="6"/>
  <c r="G11" i="6"/>
  <c r="E561" i="2"/>
  <c r="D562" i="2"/>
  <c r="AJ481" i="2"/>
  <c r="AL472" i="2"/>
  <c r="AK482" i="2"/>
  <c r="AK480" i="2"/>
  <c r="AK478" i="2"/>
  <c r="AK476" i="2"/>
  <c r="AK474" i="2"/>
  <c r="AK481" i="2"/>
  <c r="AK477" i="2"/>
  <c r="AK473" i="2"/>
  <c r="AK479" i="2"/>
  <c r="AK475" i="2"/>
  <c r="C103" i="2"/>
  <c r="F103" i="2"/>
  <c r="G103" i="2"/>
  <c r="B104" i="2"/>
  <c r="D103" i="2"/>
  <c r="Z25" i="15"/>
  <c r="V25" i="15"/>
  <c r="T27" i="15"/>
  <c r="Y26" i="15"/>
  <c r="U26" i="15"/>
  <c r="AX309" i="2"/>
  <c r="AY309" i="2"/>
  <c r="AM309" i="2"/>
  <c r="AQ309" i="2"/>
  <c r="AO309" i="2"/>
  <c r="AR309" i="2"/>
  <c r="AS309" i="2"/>
  <c r="AU309" i="2"/>
  <c r="AW309" i="2"/>
  <c r="AN309" i="2"/>
  <c r="BA309" i="2"/>
  <c r="AP309" i="2"/>
  <c r="AL310" i="2"/>
  <c r="AT309" i="2"/>
  <c r="AV309" i="2"/>
  <c r="E562" i="2"/>
  <c r="D563" i="2"/>
  <c r="F13" i="6"/>
  <c r="H12" i="6"/>
  <c r="G690" i="2"/>
  <c r="F690" i="2"/>
  <c r="F778" i="2"/>
  <c r="B779" i="2"/>
  <c r="D778" i="2"/>
  <c r="C778" i="2"/>
  <c r="AK87" i="2"/>
  <c r="AK86" i="2"/>
  <c r="AK88" i="2"/>
  <c r="AK89" i="2"/>
  <c r="AK90" i="2"/>
  <c r="AK91" i="2"/>
  <c r="AK92" i="2"/>
  <c r="AK93" i="2"/>
  <c r="AK94" i="2"/>
  <c r="G306" i="2"/>
  <c r="F306" i="2"/>
  <c r="U306" i="2"/>
  <c r="D306" i="2"/>
  <c r="C306" i="2"/>
  <c r="B307" i="2"/>
  <c r="J103" i="2"/>
  <c r="I104" i="2"/>
  <c r="B375" i="2"/>
  <c r="K374" i="2"/>
  <c r="E374" i="2"/>
  <c r="C374" i="2"/>
  <c r="D374" i="2"/>
  <c r="F374" i="2"/>
  <c r="G374" i="2"/>
  <c r="H374" i="2"/>
  <c r="I374" i="2"/>
  <c r="J374" i="2"/>
  <c r="AC482" i="2"/>
  <c r="AD482" i="2"/>
  <c r="AB483" i="2"/>
  <c r="AE482" i="2"/>
  <c r="AF482" i="2"/>
  <c r="AG482" i="2"/>
  <c r="AH482" i="2"/>
  <c r="AI482" i="2"/>
  <c r="AJ482" i="2"/>
  <c r="D64" i="2"/>
  <c r="B65" i="2"/>
  <c r="H64" i="2"/>
  <c r="E64" i="2"/>
  <c r="C64" i="2"/>
  <c r="Q372" i="2"/>
  <c r="O373" i="2"/>
  <c r="S372" i="2"/>
  <c r="G104" i="2"/>
  <c r="F104" i="2"/>
  <c r="B105" i="2"/>
  <c r="C104" i="2"/>
  <c r="D104" i="2"/>
  <c r="AL483" i="2"/>
  <c r="AL481" i="2"/>
  <c r="AL479" i="2"/>
  <c r="AL477" i="2"/>
  <c r="AL475" i="2"/>
  <c r="AL473" i="2"/>
  <c r="AL482" i="2"/>
  <c r="AL478" i="2"/>
  <c r="AL474" i="2"/>
  <c r="AL480" i="2"/>
  <c r="AL476" i="2"/>
  <c r="G561" i="2"/>
  <c r="F561" i="2"/>
  <c r="E691" i="2"/>
  <c r="D692" i="2"/>
  <c r="F480" i="2"/>
  <c r="H480" i="2"/>
  <c r="G480" i="2"/>
  <c r="I480" i="2"/>
  <c r="E481" i="2"/>
  <c r="AA96" i="2"/>
  <c r="AC95" i="2"/>
  <c r="AI95" i="2"/>
  <c r="AF95" i="2"/>
  <c r="AB95" i="2"/>
  <c r="AE95" i="2"/>
  <c r="AJ95" i="2"/>
  <c r="AH95" i="2"/>
  <c r="AK95" i="2"/>
  <c r="AD95" i="2"/>
  <c r="AG95" i="2"/>
  <c r="D213" i="2"/>
  <c r="C213" i="2"/>
  <c r="B214" i="2"/>
  <c r="AI374" i="2"/>
  <c r="AK374" i="2"/>
  <c r="AM374" i="2"/>
  <c r="AO374" i="2"/>
  <c r="AL374" i="2"/>
  <c r="AH375" i="2"/>
  <c r="AJ374" i="2"/>
  <c r="AN374" i="2"/>
  <c r="Z26" i="15"/>
  <c r="V26" i="15"/>
  <c r="T28" i="15"/>
  <c r="Y27" i="15"/>
  <c r="U27" i="15"/>
  <c r="AM310" i="2"/>
  <c r="AP310" i="2"/>
  <c r="BA310" i="2"/>
  <c r="AQ310" i="2"/>
  <c r="AS310" i="2"/>
  <c r="AU310" i="2"/>
  <c r="AW310" i="2"/>
  <c r="AY310" i="2"/>
  <c r="AZ310" i="2"/>
  <c r="AN310" i="2"/>
  <c r="AR310" i="2"/>
  <c r="AO310" i="2"/>
  <c r="AL311" i="2"/>
  <c r="AT310" i="2"/>
  <c r="AV310" i="2"/>
  <c r="AX310" i="2"/>
  <c r="AJ375" i="2"/>
  <c r="AL375" i="2"/>
  <c r="AI375" i="2"/>
  <c r="AM375" i="2"/>
  <c r="AO375" i="2"/>
  <c r="AK375" i="2"/>
  <c r="AN375" i="2"/>
  <c r="AH376" i="2"/>
  <c r="D214" i="2"/>
  <c r="B215" i="2"/>
  <c r="C214" i="2"/>
  <c r="AB96" i="2"/>
  <c r="AD96" i="2"/>
  <c r="AA97" i="2"/>
  <c r="AK96" i="2"/>
  <c r="AC96" i="2"/>
  <c r="AE96" i="2"/>
  <c r="AG96" i="2"/>
  <c r="AF96" i="2"/>
  <c r="AI96" i="2"/>
  <c r="AH96" i="2"/>
  <c r="AJ96" i="2"/>
  <c r="E692" i="2"/>
  <c r="D693" i="2"/>
  <c r="H65" i="2"/>
  <c r="E65" i="2"/>
  <c r="D65" i="2"/>
  <c r="B66" i="2"/>
  <c r="C65" i="2"/>
  <c r="AC483" i="2"/>
  <c r="AD483" i="2"/>
  <c r="AE483" i="2"/>
  <c r="AF483" i="2"/>
  <c r="AG483" i="2"/>
  <c r="AH483" i="2"/>
  <c r="AI483" i="2"/>
  <c r="AJ483" i="2"/>
  <c r="AK483" i="2"/>
  <c r="C375" i="2"/>
  <c r="K375" i="2"/>
  <c r="F375" i="2"/>
  <c r="B376" i="2"/>
  <c r="D375" i="2"/>
  <c r="E375" i="2"/>
  <c r="G375" i="2"/>
  <c r="H375" i="2"/>
  <c r="I375" i="2"/>
  <c r="J375" i="2"/>
  <c r="F779" i="2"/>
  <c r="B780" i="2"/>
  <c r="D779" i="2"/>
  <c r="C779" i="2"/>
  <c r="G562" i="2"/>
  <c r="F562" i="2"/>
  <c r="F481" i="2"/>
  <c r="H481" i="2"/>
  <c r="G481" i="2"/>
  <c r="I481" i="2"/>
  <c r="E482" i="2"/>
  <c r="G691" i="2"/>
  <c r="F691" i="2"/>
  <c r="G105" i="2"/>
  <c r="D105" i="2"/>
  <c r="B106" i="2"/>
  <c r="F105" i="2"/>
  <c r="C105" i="2"/>
  <c r="Q373" i="2"/>
  <c r="O374" i="2"/>
  <c r="S373" i="2"/>
  <c r="I105" i="2"/>
  <c r="J104" i="2"/>
  <c r="U307" i="2"/>
  <c r="D307" i="2"/>
  <c r="B308" i="2"/>
  <c r="C307" i="2"/>
  <c r="F307" i="2"/>
  <c r="H13" i="6"/>
  <c r="F14" i="6"/>
  <c r="F15" i="6"/>
  <c r="E563" i="2"/>
  <c r="D564" i="2"/>
  <c r="Z27" i="15"/>
  <c r="V27" i="15"/>
  <c r="T29" i="15"/>
  <c r="Y28" i="15"/>
  <c r="U28" i="15"/>
  <c r="AZ311" i="2"/>
  <c r="BA311" i="2"/>
  <c r="AR311" i="2"/>
  <c r="AN311" i="2"/>
  <c r="AL312" i="2"/>
  <c r="AT311" i="2"/>
  <c r="AV311" i="2"/>
  <c r="AX311" i="2"/>
  <c r="AM311" i="2"/>
  <c r="AP311" i="2"/>
  <c r="AO311" i="2"/>
  <c r="AQ311" i="2"/>
  <c r="AS311" i="2"/>
  <c r="AU311" i="2"/>
  <c r="AW311" i="2"/>
  <c r="AY311" i="2"/>
  <c r="F780" i="2"/>
  <c r="B781" i="2"/>
  <c r="D780" i="2"/>
  <c r="C780" i="2"/>
  <c r="F66" i="2"/>
  <c r="B67" i="2"/>
  <c r="E66" i="2"/>
  <c r="H66" i="2"/>
  <c r="C66" i="2"/>
  <c r="D66" i="2"/>
  <c r="E693" i="2"/>
  <c r="D694" i="2"/>
  <c r="AA98" i="2"/>
  <c r="AJ97" i="2"/>
  <c r="AB97" i="2"/>
  <c r="AF97" i="2"/>
  <c r="AE97" i="2"/>
  <c r="AK97" i="2"/>
  <c r="AH97" i="2"/>
  <c r="AG97" i="2"/>
  <c r="AI97" i="2"/>
  <c r="AC97" i="2"/>
  <c r="AD97" i="2"/>
  <c r="D215" i="2"/>
  <c r="B216" i="2"/>
  <c r="C215" i="2"/>
  <c r="AJ376" i="2"/>
  <c r="AL376" i="2"/>
  <c r="AN376" i="2"/>
  <c r="AH377" i="2"/>
  <c r="AI376" i="2"/>
  <c r="AK376" i="2"/>
  <c r="AM376" i="2"/>
  <c r="AO376" i="2"/>
  <c r="E564" i="2"/>
  <c r="D565" i="2"/>
  <c r="F482" i="2"/>
  <c r="H482" i="2"/>
  <c r="G482" i="2"/>
  <c r="I482" i="2"/>
  <c r="E483" i="2"/>
  <c r="B377" i="2"/>
  <c r="K376" i="2"/>
  <c r="E376" i="2"/>
  <c r="C376" i="2"/>
  <c r="D376" i="2"/>
  <c r="F376" i="2"/>
  <c r="G376" i="2"/>
  <c r="H376" i="2"/>
  <c r="I376" i="2"/>
  <c r="J376" i="2"/>
  <c r="G563" i="2"/>
  <c r="F563" i="2"/>
  <c r="F16" i="6"/>
  <c r="G16" i="6"/>
  <c r="G17" i="6"/>
  <c r="H15" i="6"/>
  <c r="H17" i="6"/>
  <c r="U308" i="2"/>
  <c r="D308" i="2"/>
  <c r="B309" i="2"/>
  <c r="F308" i="2"/>
  <c r="C308" i="2"/>
  <c r="I106" i="2"/>
  <c r="J105" i="2"/>
  <c r="Q374" i="2"/>
  <c r="O375" i="2"/>
  <c r="S374" i="2"/>
  <c r="F106" i="2"/>
  <c r="D106" i="2"/>
  <c r="G106" i="2"/>
  <c r="B107" i="2"/>
  <c r="C106" i="2"/>
  <c r="G692" i="2"/>
  <c r="F692" i="2"/>
  <c r="Z28" i="15"/>
  <c r="V28" i="15"/>
  <c r="T30" i="15"/>
  <c r="Y29" i="15"/>
  <c r="U29" i="15"/>
  <c r="AN312" i="2"/>
  <c r="AR312" i="2"/>
  <c r="AO312" i="2"/>
  <c r="AL313" i="2"/>
  <c r="AT312" i="2"/>
  <c r="AV312" i="2"/>
  <c r="AX312" i="2"/>
  <c r="AZ312" i="2"/>
  <c r="AM312" i="2"/>
  <c r="AP312" i="2"/>
  <c r="BA312" i="2"/>
  <c r="AQ312" i="2"/>
  <c r="AS312" i="2"/>
  <c r="AU312" i="2"/>
  <c r="AW312" i="2"/>
  <c r="AY312" i="2"/>
  <c r="O376" i="2"/>
  <c r="S375" i="2"/>
  <c r="Q375" i="2"/>
  <c r="U309" i="2"/>
  <c r="D309" i="2"/>
  <c r="B310" i="2"/>
  <c r="C309" i="2"/>
  <c r="F309" i="2"/>
  <c r="F483" i="2"/>
  <c r="H483" i="2"/>
  <c r="G483" i="2"/>
  <c r="I483" i="2"/>
  <c r="E484" i="2"/>
  <c r="G564" i="2"/>
  <c r="F564" i="2"/>
  <c r="AI377" i="2"/>
  <c r="AK377" i="2"/>
  <c r="AM377" i="2"/>
  <c r="AO377" i="2"/>
  <c r="AJ377" i="2"/>
  <c r="AL377" i="2"/>
  <c r="AN377" i="2"/>
  <c r="E694" i="2"/>
  <c r="D695" i="2"/>
  <c r="F67" i="2"/>
  <c r="C67" i="2"/>
  <c r="E67" i="2"/>
  <c r="H67" i="2"/>
  <c r="D67" i="2"/>
  <c r="B68" i="2"/>
  <c r="B782" i="2"/>
  <c r="F781" i="2"/>
  <c r="C781" i="2"/>
  <c r="D781" i="2"/>
  <c r="G107" i="2"/>
  <c r="C107" i="2"/>
  <c r="D107" i="2"/>
  <c r="B108" i="2"/>
  <c r="F107" i="2"/>
  <c r="J106" i="2"/>
  <c r="I107" i="2"/>
  <c r="C377" i="2"/>
  <c r="D377" i="2"/>
  <c r="F377" i="2"/>
  <c r="B378" i="2"/>
  <c r="K377" i="2"/>
  <c r="E377" i="2"/>
  <c r="G377" i="2"/>
  <c r="H377" i="2"/>
  <c r="I377" i="2"/>
  <c r="J377" i="2"/>
  <c r="E565" i="2"/>
  <c r="D566" i="2"/>
  <c r="D216" i="2"/>
  <c r="C216" i="2"/>
  <c r="B217" i="2"/>
  <c r="AA99" i="2"/>
  <c r="AE98" i="2"/>
  <c r="AJ98" i="2"/>
  <c r="AC98" i="2"/>
  <c r="AF98" i="2"/>
  <c r="AD98" i="2"/>
  <c r="AG98" i="2"/>
  <c r="AB98" i="2"/>
  <c r="AH98" i="2"/>
  <c r="AI98" i="2"/>
  <c r="AK98" i="2"/>
  <c r="G693" i="2"/>
  <c r="F693" i="2"/>
  <c r="Z29" i="15"/>
  <c r="V29" i="15"/>
  <c r="T31" i="15"/>
  <c r="Y30" i="15"/>
  <c r="U30" i="15"/>
  <c r="AN313" i="2"/>
  <c r="BA313" i="2"/>
  <c r="AP313" i="2"/>
  <c r="AL314" i="2"/>
  <c r="AT313" i="2"/>
  <c r="AV313" i="2"/>
  <c r="AX313" i="2"/>
  <c r="AZ313" i="2"/>
  <c r="AM313" i="2"/>
  <c r="AQ313" i="2"/>
  <c r="AO313" i="2"/>
  <c r="AR313" i="2"/>
  <c r="AS313" i="2"/>
  <c r="AU313" i="2"/>
  <c r="AW313" i="2"/>
  <c r="AY313" i="2"/>
  <c r="F782" i="2"/>
  <c r="B783" i="2"/>
  <c r="C782" i="2"/>
  <c r="D782" i="2"/>
  <c r="F694" i="2"/>
  <c r="G694" i="2"/>
  <c r="F310" i="2"/>
  <c r="C310" i="2"/>
  <c r="B311" i="2"/>
  <c r="U310" i="2"/>
  <c r="D310" i="2"/>
  <c r="E310" i="2"/>
  <c r="D217" i="2"/>
  <c r="B218" i="2"/>
  <c r="C217" i="2"/>
  <c r="F565" i="2"/>
  <c r="G565" i="2"/>
  <c r="B379" i="2"/>
  <c r="K378" i="2"/>
  <c r="E378" i="2"/>
  <c r="C378" i="2"/>
  <c r="D378" i="2"/>
  <c r="F378" i="2"/>
  <c r="G378" i="2"/>
  <c r="H378" i="2"/>
  <c r="I378" i="2"/>
  <c r="J378" i="2"/>
  <c r="J107" i="2"/>
  <c r="I108" i="2"/>
  <c r="AD99" i="2"/>
  <c r="AB99" i="2"/>
  <c r="AJ99" i="2"/>
  <c r="AG99" i="2"/>
  <c r="AH99" i="2"/>
  <c r="AF99" i="2"/>
  <c r="AE99" i="2"/>
  <c r="AC99" i="2"/>
  <c r="AI99" i="2"/>
  <c r="AA100" i="2"/>
  <c r="AK99" i="2"/>
  <c r="E566" i="2"/>
  <c r="D567" i="2"/>
  <c r="G108" i="2"/>
  <c r="F108" i="2"/>
  <c r="D108" i="2"/>
  <c r="C108" i="2"/>
  <c r="B109" i="2"/>
  <c r="H68" i="2"/>
  <c r="F68" i="2"/>
  <c r="D68" i="2"/>
  <c r="B69" i="2"/>
  <c r="E68" i="2"/>
  <c r="C68" i="2"/>
  <c r="E695" i="2"/>
  <c r="D696" i="2"/>
  <c r="F484" i="2"/>
  <c r="H484" i="2"/>
  <c r="G484" i="2"/>
  <c r="I484" i="2"/>
  <c r="E485" i="2"/>
  <c r="O377" i="2"/>
  <c r="S376" i="2"/>
  <c r="Q376" i="2"/>
  <c r="Z30" i="15"/>
  <c r="V30" i="15"/>
  <c r="T32" i="15"/>
  <c r="Y31" i="15"/>
  <c r="U31" i="15"/>
  <c r="BA314" i="2"/>
  <c r="AQ314" i="2"/>
  <c r="AN314" i="2"/>
  <c r="AR314" i="2"/>
  <c r="AS314" i="2"/>
  <c r="AU314" i="2"/>
  <c r="AW314" i="2"/>
  <c r="AY314" i="2"/>
  <c r="AO314" i="2"/>
  <c r="AM314" i="2"/>
  <c r="AP314" i="2"/>
  <c r="AL315" i="2"/>
  <c r="AT314" i="2"/>
  <c r="AV314" i="2"/>
  <c r="AX314" i="2"/>
  <c r="AZ314" i="2"/>
  <c r="F485" i="2"/>
  <c r="H485" i="2"/>
  <c r="E486" i="2"/>
  <c r="G485" i="2"/>
  <c r="I485" i="2"/>
  <c r="E567" i="2"/>
  <c r="D568" i="2"/>
  <c r="AE100" i="2"/>
  <c r="AG100" i="2"/>
  <c r="AF100" i="2"/>
  <c r="AC100" i="2"/>
  <c r="AJ100" i="2"/>
  <c r="AK100" i="2"/>
  <c r="AB100" i="2"/>
  <c r="AD100" i="2"/>
  <c r="AI100" i="2"/>
  <c r="AH100" i="2"/>
  <c r="AA101" i="2"/>
  <c r="J108" i="2"/>
  <c r="I109" i="2"/>
  <c r="D218" i="2"/>
  <c r="B219" i="2"/>
  <c r="C218" i="2"/>
  <c r="F783" i="2"/>
  <c r="B784" i="2"/>
  <c r="C783" i="2"/>
  <c r="D783" i="2"/>
  <c r="G695" i="2"/>
  <c r="F695" i="2"/>
  <c r="O378" i="2"/>
  <c r="S377" i="2"/>
  <c r="Q377" i="2"/>
  <c r="E696" i="2"/>
  <c r="D697" i="2"/>
  <c r="H69" i="2"/>
  <c r="C69" i="2"/>
  <c r="D69" i="2"/>
  <c r="E69" i="2"/>
  <c r="B70" i="2"/>
  <c r="F69" i="2"/>
  <c r="G109" i="2"/>
  <c r="D109" i="2"/>
  <c r="B110" i="2"/>
  <c r="F109" i="2"/>
  <c r="C109" i="2"/>
  <c r="G566" i="2"/>
  <c r="F566" i="2"/>
  <c r="C379" i="2"/>
  <c r="K379" i="2"/>
  <c r="F379" i="2"/>
  <c r="B380" i="2"/>
  <c r="D379" i="2"/>
  <c r="E379" i="2"/>
  <c r="G379" i="2"/>
  <c r="H379" i="2"/>
  <c r="I379" i="2"/>
  <c r="J379" i="2"/>
  <c r="D311" i="2"/>
  <c r="F311" i="2"/>
  <c r="B312" i="2"/>
  <c r="C311" i="2"/>
  <c r="U311" i="2"/>
  <c r="E311" i="2"/>
  <c r="Z31" i="15"/>
  <c r="V31" i="15"/>
  <c r="T33" i="15"/>
  <c r="Y32" i="15"/>
  <c r="U32" i="15"/>
  <c r="AO315" i="2"/>
  <c r="AQ315" i="2"/>
  <c r="BA315" i="2"/>
  <c r="AR315" i="2"/>
  <c r="AS315" i="2"/>
  <c r="AU315" i="2"/>
  <c r="AW315" i="2"/>
  <c r="AY315" i="2"/>
  <c r="AN315" i="2"/>
  <c r="AM315" i="2"/>
  <c r="AP315" i="2"/>
  <c r="AL316" i="2"/>
  <c r="AT315" i="2"/>
  <c r="AV315" i="2"/>
  <c r="AX315" i="2"/>
  <c r="AZ315" i="2"/>
  <c r="U312" i="2"/>
  <c r="D312" i="2"/>
  <c r="E312" i="2"/>
  <c r="B313" i="2"/>
  <c r="F312" i="2"/>
  <c r="C312" i="2"/>
  <c r="F110" i="2"/>
  <c r="D110" i="2"/>
  <c r="G110" i="2"/>
  <c r="B111" i="2"/>
  <c r="C110" i="2"/>
  <c r="C70" i="2"/>
  <c r="B71" i="2"/>
  <c r="H70" i="2"/>
  <c r="D70" i="2"/>
  <c r="F70" i="2"/>
  <c r="F696" i="2"/>
  <c r="G696" i="2"/>
  <c r="F784" i="2"/>
  <c r="B785" i="2"/>
  <c r="D784" i="2"/>
  <c r="C784" i="2"/>
  <c r="E568" i="2"/>
  <c r="D569" i="2"/>
  <c r="C380" i="2"/>
  <c r="D380" i="2"/>
  <c r="F380" i="2"/>
  <c r="B381" i="2"/>
  <c r="K380" i="2"/>
  <c r="E380" i="2"/>
  <c r="G380" i="2"/>
  <c r="H380" i="2"/>
  <c r="I380" i="2"/>
  <c r="J380" i="2"/>
  <c r="E697" i="2"/>
  <c r="D698" i="2"/>
  <c r="O379" i="2"/>
  <c r="S378" i="2"/>
  <c r="Q378" i="2"/>
  <c r="D219" i="2"/>
  <c r="B220" i="2"/>
  <c r="C219" i="2"/>
  <c r="J109" i="2"/>
  <c r="I110" i="2"/>
  <c r="AA102" i="2"/>
  <c r="AJ101" i="2"/>
  <c r="AI101" i="2"/>
  <c r="AC101" i="2"/>
  <c r="AD101" i="2"/>
  <c r="AK101" i="2"/>
  <c r="AH101" i="2"/>
  <c r="AG101" i="2"/>
  <c r="AE101" i="2"/>
  <c r="AB101" i="2"/>
  <c r="AF101" i="2"/>
  <c r="G567" i="2"/>
  <c r="F567" i="2"/>
  <c r="F486" i="2"/>
  <c r="H486" i="2"/>
  <c r="G486" i="2"/>
  <c r="I486" i="2"/>
  <c r="E487" i="2"/>
  <c r="Z32" i="15"/>
  <c r="V32" i="15"/>
  <c r="T34" i="15"/>
  <c r="Y33" i="15"/>
  <c r="U33" i="15"/>
  <c r="BA316" i="2"/>
  <c r="AQ316" i="2"/>
  <c r="AN316" i="2"/>
  <c r="AR316" i="2"/>
  <c r="AS316" i="2"/>
  <c r="AU316" i="2"/>
  <c r="AW316" i="2"/>
  <c r="AY316" i="2"/>
  <c r="AO316" i="2"/>
  <c r="AM316" i="2"/>
  <c r="AP316" i="2"/>
  <c r="AL317" i="2"/>
  <c r="AT316" i="2"/>
  <c r="AV316" i="2"/>
  <c r="AX316" i="2"/>
  <c r="AZ316" i="2"/>
  <c r="G568" i="2"/>
  <c r="F568" i="2"/>
  <c r="B786" i="2"/>
  <c r="F785" i="2"/>
  <c r="D785" i="2"/>
  <c r="C785" i="2"/>
  <c r="G111" i="2"/>
  <c r="F111" i="2"/>
  <c r="B112" i="2"/>
  <c r="D111" i="2"/>
  <c r="C111" i="2"/>
  <c r="D313" i="2"/>
  <c r="F313" i="2"/>
  <c r="B314" i="2"/>
  <c r="C313" i="2"/>
  <c r="U313" i="2"/>
  <c r="E313" i="2"/>
  <c r="F487" i="2"/>
  <c r="H487" i="2"/>
  <c r="E488" i="2"/>
  <c r="G487" i="2"/>
  <c r="I487" i="2"/>
  <c r="AF102" i="2"/>
  <c r="AK102" i="2"/>
  <c r="AJ102" i="2"/>
  <c r="AG102" i="2"/>
  <c r="AH102" i="2"/>
  <c r="AB102" i="2"/>
  <c r="AC102" i="2"/>
  <c r="AI102" i="2"/>
  <c r="AD102" i="2"/>
  <c r="AE102" i="2"/>
  <c r="AA103" i="2"/>
  <c r="C220" i="2"/>
  <c r="D220" i="2"/>
  <c r="B221" i="2"/>
  <c r="O380" i="2"/>
  <c r="S379" i="2"/>
  <c r="Q379" i="2"/>
  <c r="F697" i="2"/>
  <c r="G697" i="2"/>
  <c r="J110" i="2"/>
  <c r="I111" i="2"/>
  <c r="E698" i="2"/>
  <c r="D699" i="2"/>
  <c r="C381" i="2"/>
  <c r="D381" i="2"/>
  <c r="F381" i="2"/>
  <c r="B382" i="2"/>
  <c r="K381" i="2"/>
  <c r="E381" i="2"/>
  <c r="G381" i="2"/>
  <c r="H381" i="2"/>
  <c r="I381" i="2"/>
  <c r="J381" i="2"/>
  <c r="E569" i="2"/>
  <c r="D570" i="2"/>
  <c r="F71" i="2"/>
  <c r="C71" i="2"/>
  <c r="H71" i="2"/>
  <c r="D71" i="2"/>
  <c r="B72" i="2"/>
  <c r="Z33" i="15"/>
  <c r="V33" i="15"/>
  <c r="T35" i="15"/>
  <c r="Y34" i="15"/>
  <c r="U34" i="15"/>
  <c r="AM317" i="2"/>
  <c r="AQ317" i="2"/>
  <c r="BA317" i="2"/>
  <c r="AP317" i="2"/>
  <c r="AS317" i="2"/>
  <c r="AU317" i="2"/>
  <c r="AW317" i="2"/>
  <c r="AY317" i="2"/>
  <c r="AN317" i="2"/>
  <c r="AL318" i="2"/>
  <c r="AO317" i="2"/>
  <c r="AR317" i="2"/>
  <c r="AT317" i="2"/>
  <c r="AV317" i="2"/>
  <c r="AX317" i="2"/>
  <c r="AZ317" i="2"/>
  <c r="E570" i="2"/>
  <c r="D571" i="2"/>
  <c r="H72" i="2"/>
  <c r="F72" i="2"/>
  <c r="D72" i="2"/>
  <c r="B73" i="2"/>
  <c r="C72" i="2"/>
  <c r="G569" i="2"/>
  <c r="F569" i="2"/>
  <c r="B383" i="2"/>
  <c r="K382" i="2"/>
  <c r="E382" i="2"/>
  <c r="C382" i="2"/>
  <c r="D382" i="2"/>
  <c r="F382" i="2"/>
  <c r="G382" i="2"/>
  <c r="H382" i="2"/>
  <c r="I382" i="2"/>
  <c r="J382" i="2"/>
  <c r="E699" i="2"/>
  <c r="D700" i="2"/>
  <c r="J111" i="2"/>
  <c r="I112" i="2"/>
  <c r="O381" i="2"/>
  <c r="S380" i="2"/>
  <c r="Q380" i="2"/>
  <c r="AF103" i="2"/>
  <c r="AE103" i="2"/>
  <c r="AK103" i="2"/>
  <c r="AI103" i="2"/>
  <c r="AA104" i="2"/>
  <c r="AG103" i="2"/>
  <c r="AD103" i="2"/>
  <c r="AB103" i="2"/>
  <c r="AJ103" i="2"/>
  <c r="AC103" i="2"/>
  <c r="AH103" i="2"/>
  <c r="F112" i="2"/>
  <c r="D112" i="2"/>
  <c r="G112" i="2"/>
  <c r="B113" i="2"/>
  <c r="C112" i="2"/>
  <c r="F786" i="2"/>
  <c r="B787" i="2"/>
  <c r="D786" i="2"/>
  <c r="C786" i="2"/>
  <c r="F698" i="2"/>
  <c r="G698" i="2"/>
  <c r="D221" i="2"/>
  <c r="C221" i="2"/>
  <c r="B222" i="2"/>
  <c r="F488" i="2"/>
  <c r="H488" i="2"/>
  <c r="G488" i="2"/>
  <c r="I488" i="2"/>
  <c r="E489" i="2"/>
  <c r="U314" i="2"/>
  <c r="D314" i="2"/>
  <c r="E314" i="2"/>
  <c r="F314" i="2"/>
  <c r="C314" i="2"/>
  <c r="B315" i="2"/>
  <c r="Z34" i="15"/>
  <c r="V34" i="15"/>
  <c r="T36" i="15"/>
  <c r="Y35" i="15"/>
  <c r="U35" i="15"/>
  <c r="AO318" i="2"/>
  <c r="AM318" i="2"/>
  <c r="AL319" i="2"/>
  <c r="AR318" i="2"/>
  <c r="AT318" i="2"/>
  <c r="AV318" i="2"/>
  <c r="AX318" i="2"/>
  <c r="AZ318" i="2"/>
  <c r="BA318" i="2"/>
  <c r="AQ318" i="2"/>
  <c r="AP318" i="2"/>
  <c r="AN318" i="2"/>
  <c r="AS318" i="2"/>
  <c r="AU318" i="2"/>
  <c r="AW318" i="2"/>
  <c r="AY318" i="2"/>
  <c r="F787" i="2"/>
  <c r="B788" i="2"/>
  <c r="D787" i="2"/>
  <c r="C787" i="2"/>
  <c r="O382" i="2"/>
  <c r="S381" i="2"/>
  <c r="Q381" i="2"/>
  <c r="G699" i="2"/>
  <c r="F699" i="2"/>
  <c r="D222" i="2"/>
  <c r="C222" i="2"/>
  <c r="B223" i="2"/>
  <c r="B114" i="2"/>
  <c r="G113" i="2"/>
  <c r="C113" i="2"/>
  <c r="D113" i="2"/>
  <c r="F113" i="2"/>
  <c r="AA105" i="2"/>
  <c r="AC104" i="2"/>
  <c r="AH104" i="2"/>
  <c r="AB104" i="2"/>
  <c r="AE104" i="2"/>
  <c r="AF104" i="2"/>
  <c r="AI104" i="2"/>
  <c r="AJ104" i="2"/>
  <c r="AG104" i="2"/>
  <c r="AK104" i="2"/>
  <c r="AD104" i="2"/>
  <c r="I113" i="2"/>
  <c r="J112" i="2"/>
  <c r="E700" i="2"/>
  <c r="D701" i="2"/>
  <c r="D383" i="2"/>
  <c r="E383" i="2"/>
  <c r="C383" i="2"/>
  <c r="K383" i="2"/>
  <c r="F383" i="2"/>
  <c r="G383" i="2"/>
  <c r="H383" i="2"/>
  <c r="I383" i="2"/>
  <c r="J383" i="2"/>
  <c r="G570" i="2"/>
  <c r="F570" i="2"/>
  <c r="C315" i="2"/>
  <c r="U315" i="2"/>
  <c r="D315" i="2"/>
  <c r="E315" i="2"/>
  <c r="B316" i="2"/>
  <c r="F489" i="2"/>
  <c r="H489" i="2"/>
  <c r="E490" i="2"/>
  <c r="G489" i="2"/>
  <c r="I489" i="2"/>
  <c r="F73" i="2"/>
  <c r="B74" i="2"/>
  <c r="D73" i="2"/>
  <c r="H73" i="2"/>
  <c r="C73" i="2"/>
  <c r="E571" i="2"/>
  <c r="D572" i="2"/>
  <c r="Z35" i="15"/>
  <c r="V35" i="15"/>
  <c r="Y36" i="15"/>
  <c r="U36" i="15"/>
  <c r="AO319" i="2"/>
  <c r="AQ319" i="2"/>
  <c r="AP319" i="2"/>
  <c r="AR319" i="2"/>
  <c r="AT319" i="2"/>
  <c r="AV319" i="2"/>
  <c r="AX319" i="2"/>
  <c r="AZ319" i="2"/>
  <c r="AN319" i="2"/>
  <c r="AM319" i="2"/>
  <c r="BA319" i="2"/>
  <c r="AS319" i="2"/>
  <c r="AU319" i="2"/>
  <c r="AW319" i="2"/>
  <c r="AY319" i="2"/>
  <c r="G571" i="2"/>
  <c r="F571" i="2"/>
  <c r="D316" i="2"/>
  <c r="E316" i="2"/>
  <c r="U316" i="2"/>
  <c r="B317" i="2"/>
  <c r="C316" i="2"/>
  <c r="E572" i="2"/>
  <c r="D573" i="2"/>
  <c r="D74" i="2"/>
  <c r="B75" i="2"/>
  <c r="C74" i="2"/>
  <c r="F74" i="2"/>
  <c r="H74" i="2"/>
  <c r="F490" i="2"/>
  <c r="H490" i="2"/>
  <c r="G490" i="2"/>
  <c r="E491" i="2"/>
  <c r="E701" i="2"/>
  <c r="D702" i="2"/>
  <c r="AD105" i="2"/>
  <c r="AC105" i="2"/>
  <c r="AB105" i="2"/>
  <c r="AH105" i="2"/>
  <c r="AG105" i="2"/>
  <c r="AI105" i="2"/>
  <c r="AF105" i="2"/>
  <c r="AA106" i="2"/>
  <c r="AE105" i="2"/>
  <c r="AK105" i="2"/>
  <c r="AJ105" i="2"/>
  <c r="D223" i="2"/>
  <c r="C223" i="2"/>
  <c r="B224" i="2"/>
  <c r="F788" i="2"/>
  <c r="B789" i="2"/>
  <c r="D788" i="2"/>
  <c r="C788" i="2"/>
  <c r="F700" i="2"/>
  <c r="G700" i="2"/>
  <c r="J113" i="2"/>
  <c r="I114" i="2"/>
  <c r="B115" i="2"/>
  <c r="F114" i="2"/>
  <c r="G114" i="2"/>
  <c r="C114" i="2"/>
  <c r="D114" i="2"/>
  <c r="Q382" i="2"/>
  <c r="O383" i="2"/>
  <c r="S382" i="2"/>
  <c r="Z36" i="15"/>
  <c r="V36" i="15"/>
  <c r="D224" i="2"/>
  <c r="B225" i="2"/>
  <c r="C224" i="2"/>
  <c r="AK106" i="2"/>
  <c r="AF106" i="2"/>
  <c r="AA107" i="2"/>
  <c r="AE106" i="2"/>
  <c r="AJ106" i="2"/>
  <c r="AI106" i="2"/>
  <c r="AG106" i="2"/>
  <c r="AH106" i="2"/>
  <c r="AC106" i="2"/>
  <c r="AD106" i="2"/>
  <c r="AB106" i="2"/>
  <c r="G491" i="2"/>
  <c r="E492" i="2"/>
  <c r="F491" i="2"/>
  <c r="H491" i="2"/>
  <c r="J114" i="2"/>
  <c r="I115" i="2"/>
  <c r="B790" i="2"/>
  <c r="F789" i="2"/>
  <c r="D789" i="2"/>
  <c r="C789" i="2"/>
  <c r="E702" i="2"/>
  <c r="D703" i="2"/>
  <c r="G572" i="2"/>
  <c r="F572" i="2"/>
  <c r="Q383" i="2"/>
  <c r="O384" i="2"/>
  <c r="S383" i="2"/>
  <c r="D115" i="2"/>
  <c r="B116" i="2"/>
  <c r="F115" i="2"/>
  <c r="G115" i="2"/>
  <c r="C115" i="2"/>
  <c r="F701" i="2"/>
  <c r="G701" i="2"/>
  <c r="B76" i="2"/>
  <c r="F75" i="2"/>
  <c r="C75" i="2"/>
  <c r="H75" i="2"/>
  <c r="E573" i="2"/>
  <c r="D574" i="2"/>
  <c r="C317" i="2"/>
  <c r="U317" i="2"/>
  <c r="D317" i="2"/>
  <c r="B318" i="2"/>
  <c r="E317" i="2"/>
  <c r="F573" i="2"/>
  <c r="G573" i="2"/>
  <c r="O385" i="2"/>
  <c r="S384" i="2"/>
  <c r="Q384" i="2"/>
  <c r="G702" i="2"/>
  <c r="F702" i="2"/>
  <c r="F790" i="2"/>
  <c r="B791" i="2"/>
  <c r="D790" i="2"/>
  <c r="C790" i="2"/>
  <c r="U318" i="2"/>
  <c r="C318" i="2"/>
  <c r="B319" i="2"/>
  <c r="E318" i="2"/>
  <c r="D318" i="2"/>
  <c r="E574" i="2"/>
  <c r="D575" i="2"/>
  <c r="H76" i="2"/>
  <c r="B77" i="2"/>
  <c r="F76" i="2"/>
  <c r="C76" i="2"/>
  <c r="G116" i="2"/>
  <c r="C116" i="2"/>
  <c r="D116" i="2"/>
  <c r="B117" i="2"/>
  <c r="F116" i="2"/>
  <c r="E703" i="2"/>
  <c r="D704" i="2"/>
  <c r="I116" i="2"/>
  <c r="J115" i="2"/>
  <c r="F492" i="2"/>
  <c r="H492" i="2"/>
  <c r="G492" i="2"/>
  <c r="E493" i="2"/>
  <c r="AF107" i="2"/>
  <c r="AE107" i="2"/>
  <c r="AG107" i="2"/>
  <c r="AJ107" i="2"/>
  <c r="AI107" i="2"/>
  <c r="AK107" i="2"/>
  <c r="AD107" i="2"/>
  <c r="AA108" i="2"/>
  <c r="AC107" i="2"/>
  <c r="AB107" i="2"/>
  <c r="AH107" i="2"/>
  <c r="D225" i="2"/>
  <c r="B226" i="2"/>
  <c r="C225" i="2"/>
  <c r="D226" i="2"/>
  <c r="B227" i="2"/>
  <c r="C226" i="2"/>
  <c r="J116" i="2"/>
  <c r="I117" i="2"/>
  <c r="F703" i="2"/>
  <c r="G703" i="2"/>
  <c r="G117" i="2"/>
  <c r="D117" i="2"/>
  <c r="C117" i="2"/>
  <c r="F117" i="2"/>
  <c r="B118" i="2"/>
  <c r="C77" i="2"/>
  <c r="B78" i="2"/>
  <c r="H77" i="2"/>
  <c r="F77" i="2"/>
  <c r="E575" i="2"/>
  <c r="D576" i="2"/>
  <c r="F791" i="2"/>
  <c r="B792" i="2"/>
  <c r="D791" i="2"/>
  <c r="C791" i="2"/>
  <c r="O386" i="2"/>
  <c r="S385" i="2"/>
  <c r="Q385" i="2"/>
  <c r="AB108" i="2"/>
  <c r="AK108" i="2"/>
  <c r="AF108" i="2"/>
  <c r="AA109" i="2"/>
  <c r="AD108" i="2"/>
  <c r="AE108" i="2"/>
  <c r="AH108" i="2"/>
  <c r="AG108" i="2"/>
  <c r="AC108" i="2"/>
  <c r="AI108" i="2"/>
  <c r="AJ108" i="2"/>
  <c r="G493" i="2"/>
  <c r="E494" i="2"/>
  <c r="F493" i="2"/>
  <c r="H493" i="2"/>
  <c r="E704" i="2"/>
  <c r="D705" i="2"/>
  <c r="G574" i="2"/>
  <c r="F574" i="2"/>
  <c r="D319" i="2"/>
  <c r="E319" i="2"/>
  <c r="C319" i="2"/>
  <c r="U319" i="2"/>
  <c r="B320" i="2"/>
  <c r="U320" i="2"/>
  <c r="C320" i="2"/>
  <c r="B321" i="2"/>
  <c r="E320" i="2"/>
  <c r="D320" i="2"/>
  <c r="G704" i="2"/>
  <c r="F704" i="2"/>
  <c r="AD109" i="2"/>
  <c r="AC109" i="2"/>
  <c r="AI109" i="2"/>
  <c r="AH109" i="2"/>
  <c r="AG109" i="2"/>
  <c r="AE109" i="2"/>
  <c r="AK109" i="2"/>
  <c r="AJ109" i="2"/>
  <c r="AF109" i="2"/>
  <c r="AA110" i="2"/>
  <c r="AB109" i="2"/>
  <c r="O387" i="2"/>
  <c r="Q386" i="2"/>
  <c r="S386" i="2"/>
  <c r="G575" i="2"/>
  <c r="F575" i="2"/>
  <c r="H78" i="2"/>
  <c r="B79" i="2"/>
  <c r="F78" i="2"/>
  <c r="C78" i="2"/>
  <c r="G118" i="2"/>
  <c r="B119" i="2"/>
  <c r="C118" i="2"/>
  <c r="F118" i="2"/>
  <c r="D118" i="2"/>
  <c r="D227" i="2"/>
  <c r="B228" i="2"/>
  <c r="C227" i="2"/>
  <c r="E705" i="2"/>
  <c r="D706" i="2"/>
  <c r="F494" i="2"/>
  <c r="H494" i="2"/>
  <c r="G494" i="2"/>
  <c r="E495" i="2"/>
  <c r="F792" i="2"/>
  <c r="B793" i="2"/>
  <c r="D792" i="2"/>
  <c r="C792" i="2"/>
  <c r="E576" i="2"/>
  <c r="D577" i="2"/>
  <c r="J117" i="2"/>
  <c r="I118" i="2"/>
  <c r="E577" i="2"/>
  <c r="D578" i="2"/>
  <c r="G576" i="2"/>
  <c r="F576" i="2"/>
  <c r="B794" i="2"/>
  <c r="F793" i="2"/>
  <c r="D793" i="2"/>
  <c r="C793" i="2"/>
  <c r="G495" i="2"/>
  <c r="E496" i="2"/>
  <c r="F495" i="2"/>
  <c r="H495" i="2"/>
  <c r="E706" i="2"/>
  <c r="D707" i="2"/>
  <c r="B120" i="2"/>
  <c r="F119" i="2"/>
  <c r="G119" i="2"/>
  <c r="D119" i="2"/>
  <c r="C119" i="2"/>
  <c r="C79" i="2"/>
  <c r="B80" i="2"/>
  <c r="F79" i="2"/>
  <c r="H79" i="2"/>
  <c r="J118" i="2"/>
  <c r="I119" i="2"/>
  <c r="F705" i="2"/>
  <c r="G705" i="2"/>
  <c r="B229" i="2"/>
  <c r="D228" i="2"/>
  <c r="C228" i="2"/>
  <c r="Q387" i="2"/>
  <c r="O388" i="2"/>
  <c r="S387" i="2"/>
  <c r="AG110" i="2"/>
  <c r="AB110" i="2"/>
  <c r="AD110" i="2"/>
  <c r="AK110" i="2"/>
  <c r="AF110" i="2"/>
  <c r="AA111" i="2"/>
  <c r="AJ110" i="2"/>
  <c r="AI110" i="2"/>
  <c r="AE110" i="2"/>
  <c r="AC110" i="2"/>
  <c r="AH110" i="2"/>
  <c r="C321" i="2"/>
  <c r="U321" i="2"/>
  <c r="D321" i="2"/>
  <c r="B322" i="2"/>
  <c r="E321" i="2"/>
  <c r="O389" i="2"/>
  <c r="Q388" i="2"/>
  <c r="S388" i="2"/>
  <c r="B230" i="2"/>
  <c r="D229" i="2"/>
  <c r="C229" i="2"/>
  <c r="E707" i="2"/>
  <c r="D708" i="2"/>
  <c r="F496" i="2"/>
  <c r="H496" i="2"/>
  <c r="G496" i="2"/>
  <c r="E497" i="2"/>
  <c r="G577" i="2"/>
  <c r="F577" i="2"/>
  <c r="D322" i="2"/>
  <c r="E322" i="2"/>
  <c r="B323" i="2"/>
  <c r="C322" i="2"/>
  <c r="U322" i="2"/>
  <c r="AB111" i="2"/>
  <c r="AJ111" i="2"/>
  <c r="AI111" i="2"/>
  <c r="AF111" i="2"/>
  <c r="AE111" i="2"/>
  <c r="AK111" i="2"/>
  <c r="AA112" i="2"/>
  <c r="AG111" i="2"/>
  <c r="AC111" i="2"/>
  <c r="AH111" i="2"/>
  <c r="AD111" i="2"/>
  <c r="I120" i="2"/>
  <c r="J119" i="2"/>
  <c r="B81" i="2"/>
  <c r="C80" i="2"/>
  <c r="F80" i="2"/>
  <c r="H80" i="2"/>
  <c r="G120" i="2"/>
  <c r="D120" i="2"/>
  <c r="C120" i="2"/>
  <c r="F120" i="2"/>
  <c r="B121" i="2"/>
  <c r="F706" i="2"/>
  <c r="G706" i="2"/>
  <c r="F794" i="2"/>
  <c r="B795" i="2"/>
  <c r="C794" i="2"/>
  <c r="D794" i="2"/>
  <c r="E578" i="2"/>
  <c r="D579" i="2"/>
  <c r="AB112" i="2"/>
  <c r="AD112" i="2"/>
  <c r="AA113" i="2"/>
  <c r="AC112" i="2"/>
  <c r="AH112" i="2"/>
  <c r="AG112" i="2"/>
  <c r="AI112" i="2"/>
  <c r="AJ112" i="2"/>
  <c r="AE112" i="2"/>
  <c r="AF112" i="2"/>
  <c r="AK112" i="2"/>
  <c r="G578" i="2"/>
  <c r="F578" i="2"/>
  <c r="F795" i="2"/>
  <c r="B796" i="2"/>
  <c r="C795" i="2"/>
  <c r="D795" i="2"/>
  <c r="G121" i="2"/>
  <c r="F121" i="2"/>
  <c r="C121" i="2"/>
  <c r="D121" i="2"/>
  <c r="B122" i="2"/>
  <c r="H81" i="2"/>
  <c r="C81" i="2"/>
  <c r="F81" i="2"/>
  <c r="B82" i="2"/>
  <c r="J120" i="2"/>
  <c r="I121" i="2"/>
  <c r="D323" i="2"/>
  <c r="E323" i="2"/>
  <c r="U323" i="2"/>
  <c r="C323" i="2"/>
  <c r="B324" i="2"/>
  <c r="G497" i="2"/>
  <c r="E498" i="2"/>
  <c r="F497" i="2"/>
  <c r="H497" i="2"/>
  <c r="E708" i="2"/>
  <c r="D709" i="2"/>
  <c r="C230" i="2"/>
  <c r="D230" i="2"/>
  <c r="B231" i="2"/>
  <c r="E579" i="2"/>
  <c r="D580" i="2"/>
  <c r="F707" i="2"/>
  <c r="G707" i="2"/>
  <c r="S389" i="2"/>
  <c r="Q389" i="2"/>
  <c r="O390" i="2"/>
  <c r="Q390" i="2"/>
  <c r="O391" i="2"/>
  <c r="S390" i="2"/>
  <c r="G579" i="2"/>
  <c r="F579" i="2"/>
  <c r="D231" i="2"/>
  <c r="B232" i="2"/>
  <c r="C231" i="2"/>
  <c r="F708" i="2"/>
  <c r="G708" i="2"/>
  <c r="I122" i="2"/>
  <c r="J121" i="2"/>
  <c r="H82" i="2"/>
  <c r="B83" i="2"/>
  <c r="C82" i="2"/>
  <c r="F82" i="2"/>
  <c r="E580" i="2"/>
  <c r="D581" i="2"/>
  <c r="E709" i="2"/>
  <c r="D710" i="2"/>
  <c r="F498" i="2"/>
  <c r="H498" i="2"/>
  <c r="G498" i="2"/>
  <c r="E499" i="2"/>
  <c r="U324" i="2"/>
  <c r="C324" i="2"/>
  <c r="B325" i="2"/>
  <c r="E324" i="2"/>
  <c r="D324" i="2"/>
  <c r="F796" i="2"/>
  <c r="B797" i="2"/>
  <c r="D796" i="2"/>
  <c r="C796" i="2"/>
  <c r="G122" i="2"/>
  <c r="C122" i="2"/>
  <c r="B123" i="2"/>
  <c r="D122" i="2"/>
  <c r="F122" i="2"/>
  <c r="AJ113" i="2"/>
  <c r="AK113" i="2"/>
  <c r="AD113" i="2"/>
  <c r="AA114" i="2"/>
  <c r="AI113" i="2"/>
  <c r="AC113" i="2"/>
  <c r="AF113" i="2"/>
  <c r="AE113" i="2"/>
  <c r="AH113" i="2"/>
  <c r="AB113" i="2"/>
  <c r="AG113" i="2"/>
  <c r="AK114" i="2"/>
  <c r="AF114" i="2"/>
  <c r="AH114" i="2"/>
  <c r="AE114" i="2"/>
  <c r="AJ114" i="2"/>
  <c r="AC114" i="2"/>
  <c r="AA115" i="2"/>
  <c r="AB114" i="2"/>
  <c r="AI114" i="2"/>
  <c r="AG114" i="2"/>
  <c r="AD114" i="2"/>
  <c r="F123" i="2"/>
  <c r="B124" i="2"/>
  <c r="D123" i="2"/>
  <c r="G123" i="2"/>
  <c r="C123" i="2"/>
  <c r="G499" i="2"/>
  <c r="E500" i="2"/>
  <c r="F499" i="2"/>
  <c r="H499" i="2"/>
  <c r="E710" i="2"/>
  <c r="D711" i="2"/>
  <c r="E581" i="2"/>
  <c r="D582" i="2"/>
  <c r="J122" i="2"/>
  <c r="I123" i="2"/>
  <c r="B233" i="2"/>
  <c r="C232" i="2"/>
  <c r="D232" i="2"/>
  <c r="S391" i="2"/>
  <c r="O392" i="2"/>
  <c r="Q391" i="2"/>
  <c r="B798" i="2"/>
  <c r="F797" i="2"/>
  <c r="D797" i="2"/>
  <c r="C797" i="2"/>
  <c r="D325" i="2"/>
  <c r="E325" i="2"/>
  <c r="U325" i="2"/>
  <c r="B326" i="2"/>
  <c r="C325" i="2"/>
  <c r="F709" i="2"/>
  <c r="G709" i="2"/>
  <c r="G580" i="2"/>
  <c r="F580" i="2"/>
  <c r="F83" i="2"/>
  <c r="B84" i="2"/>
  <c r="H83" i="2"/>
  <c r="C83" i="2"/>
  <c r="H84" i="2"/>
  <c r="B85" i="2"/>
  <c r="F84" i="2"/>
  <c r="F798" i="2"/>
  <c r="B799" i="2"/>
  <c r="D798" i="2"/>
  <c r="C798" i="2"/>
  <c r="Q392" i="2"/>
  <c r="O393" i="2"/>
  <c r="S392" i="2"/>
  <c r="D233" i="2"/>
  <c r="C233" i="2"/>
  <c r="B234" i="2"/>
  <c r="F581" i="2"/>
  <c r="G581" i="2"/>
  <c r="E711" i="2"/>
  <c r="D712" i="2"/>
  <c r="F500" i="2"/>
  <c r="H500" i="2"/>
  <c r="G500" i="2"/>
  <c r="E501" i="2"/>
  <c r="D326" i="2"/>
  <c r="E326" i="2"/>
  <c r="B327" i="2"/>
  <c r="C326" i="2"/>
  <c r="U326" i="2"/>
  <c r="I124" i="2"/>
  <c r="J123" i="2"/>
  <c r="E582" i="2"/>
  <c r="D583" i="2"/>
  <c r="F710" i="2"/>
  <c r="G710" i="2"/>
  <c r="F124" i="2"/>
  <c r="B125" i="2"/>
  <c r="G124" i="2"/>
  <c r="D124" i="2"/>
  <c r="C124" i="2"/>
  <c r="AA116" i="2"/>
  <c r="AH115" i="2"/>
  <c r="AK115" i="2"/>
  <c r="AF115" i="2"/>
  <c r="AE115" i="2"/>
  <c r="AC115" i="2"/>
  <c r="AI115" i="2"/>
  <c r="AD115" i="2"/>
  <c r="AJ115" i="2"/>
  <c r="AG115" i="2"/>
  <c r="AB115" i="2"/>
  <c r="AC116" i="2"/>
  <c r="AH116" i="2"/>
  <c r="AE116" i="2"/>
  <c r="AF116" i="2"/>
  <c r="AD116" i="2"/>
  <c r="AK116" i="2"/>
  <c r="AG116" i="2"/>
  <c r="AI116" i="2"/>
  <c r="AJ116" i="2"/>
  <c r="AB116" i="2"/>
  <c r="F125" i="2"/>
  <c r="B126" i="2"/>
  <c r="G125" i="2"/>
  <c r="C125" i="2"/>
  <c r="D125" i="2"/>
  <c r="E583" i="2"/>
  <c r="D584" i="2"/>
  <c r="J124" i="2"/>
  <c r="I125" i="2"/>
  <c r="G501" i="2"/>
  <c r="E502" i="2"/>
  <c r="F501" i="2"/>
  <c r="H501" i="2"/>
  <c r="E712" i="2"/>
  <c r="D713" i="2"/>
  <c r="H85" i="2"/>
  <c r="F85" i="2"/>
  <c r="B86" i="2"/>
  <c r="G582" i="2"/>
  <c r="F582" i="2"/>
  <c r="D327" i="2"/>
  <c r="E327" i="2"/>
  <c r="U327" i="2"/>
  <c r="B328" i="2"/>
  <c r="C327" i="2"/>
  <c r="F711" i="2"/>
  <c r="G711" i="2"/>
  <c r="D234" i="2"/>
  <c r="B235" i="2"/>
  <c r="C234" i="2"/>
  <c r="S393" i="2"/>
  <c r="Q393" i="2"/>
  <c r="O394" i="2"/>
  <c r="F799" i="2"/>
  <c r="B800" i="2"/>
  <c r="C799" i="2"/>
  <c r="D799" i="2"/>
  <c r="B329" i="2"/>
  <c r="D328" i="2"/>
  <c r="U328" i="2"/>
  <c r="E328" i="2"/>
  <c r="E713" i="2"/>
  <c r="D714" i="2"/>
  <c r="F502" i="2"/>
  <c r="H502" i="2"/>
  <c r="G502" i="2"/>
  <c r="E503" i="2"/>
  <c r="J125" i="2"/>
  <c r="I126" i="2"/>
  <c r="E584" i="2"/>
  <c r="D585" i="2"/>
  <c r="F126" i="2"/>
  <c r="B127" i="2"/>
  <c r="C126" i="2"/>
  <c r="G126" i="2"/>
  <c r="D126" i="2"/>
  <c r="F800" i="2"/>
  <c r="B801" i="2"/>
  <c r="D800" i="2"/>
  <c r="C800" i="2"/>
  <c r="Q394" i="2"/>
  <c r="O395" i="2"/>
  <c r="S394" i="2"/>
  <c r="B236" i="2"/>
  <c r="C235" i="2"/>
  <c r="D235" i="2"/>
  <c r="F86" i="2"/>
  <c r="H86" i="2"/>
  <c r="B87" i="2"/>
  <c r="G712" i="2"/>
  <c r="F712" i="2"/>
  <c r="G583" i="2"/>
  <c r="F583" i="2"/>
  <c r="H87" i="2"/>
  <c r="F87" i="2"/>
  <c r="B88" i="2"/>
  <c r="G127" i="2"/>
  <c r="D127" i="2"/>
  <c r="C127" i="2"/>
  <c r="B128" i="2"/>
  <c r="F127" i="2"/>
  <c r="C236" i="2"/>
  <c r="D236" i="2"/>
  <c r="B237" i="2"/>
  <c r="S395" i="2"/>
  <c r="Q395" i="2"/>
  <c r="O396" i="2"/>
  <c r="B802" i="2"/>
  <c r="F801" i="2"/>
  <c r="D801" i="2"/>
  <c r="C801" i="2"/>
  <c r="G584" i="2"/>
  <c r="F584" i="2"/>
  <c r="J126" i="2"/>
  <c r="I127" i="2"/>
  <c r="G503" i="2"/>
  <c r="E504" i="2"/>
  <c r="F503" i="2"/>
  <c r="H503" i="2"/>
  <c r="E714" i="2"/>
  <c r="D715" i="2"/>
  <c r="E585" i="2"/>
  <c r="D586" i="2"/>
  <c r="F713" i="2"/>
  <c r="G713" i="2"/>
  <c r="B330" i="2"/>
  <c r="U329" i="2"/>
  <c r="E329" i="2"/>
  <c r="D329" i="2"/>
  <c r="E586" i="2"/>
  <c r="D587" i="2"/>
  <c r="G714" i="2"/>
  <c r="F714" i="2"/>
  <c r="Q396" i="2"/>
  <c r="O397" i="2"/>
  <c r="S396" i="2"/>
  <c r="B331" i="2"/>
  <c r="D330" i="2"/>
  <c r="U330" i="2"/>
  <c r="E330" i="2"/>
  <c r="G585" i="2"/>
  <c r="F585" i="2"/>
  <c r="E715" i="2"/>
  <c r="D716" i="2"/>
  <c r="F504" i="2"/>
  <c r="H504" i="2"/>
  <c r="G504" i="2"/>
  <c r="E505" i="2"/>
  <c r="I128" i="2"/>
  <c r="J127" i="2"/>
  <c r="F802" i="2"/>
  <c r="B803" i="2"/>
  <c r="D802" i="2"/>
  <c r="C802" i="2"/>
  <c r="D237" i="2"/>
  <c r="C237" i="2"/>
  <c r="B238" i="2"/>
  <c r="G128" i="2"/>
  <c r="B129" i="2"/>
  <c r="C128" i="2"/>
  <c r="D128" i="2"/>
  <c r="F128" i="2"/>
  <c r="E128" i="2"/>
  <c r="H88" i="2"/>
  <c r="B89" i="2"/>
  <c r="F88" i="2"/>
  <c r="H89" i="2"/>
  <c r="B90" i="2"/>
  <c r="H90" i="2"/>
  <c r="C129" i="2"/>
  <c r="E129" i="2"/>
  <c r="D129" i="2"/>
  <c r="F129" i="2"/>
  <c r="G129" i="2"/>
  <c r="B130" i="2"/>
  <c r="D238" i="2"/>
  <c r="B239" i="2"/>
  <c r="C238" i="2"/>
  <c r="J128" i="2"/>
  <c r="I129" i="2"/>
  <c r="F715" i="2"/>
  <c r="G715" i="2"/>
  <c r="G586" i="2"/>
  <c r="F586" i="2"/>
  <c r="F803" i="2"/>
  <c r="B804" i="2"/>
  <c r="C803" i="2"/>
  <c r="D803" i="2"/>
  <c r="G505" i="2"/>
  <c r="E506" i="2"/>
  <c r="F505" i="2"/>
  <c r="H505" i="2"/>
  <c r="E716" i="2"/>
  <c r="D717" i="2"/>
  <c r="D331" i="2"/>
  <c r="E331" i="2"/>
  <c r="B332" i="2"/>
  <c r="U331" i="2"/>
  <c r="O398" i="2"/>
  <c r="Q397" i="2"/>
  <c r="S397" i="2"/>
  <c r="E587" i="2"/>
  <c r="D588" i="2"/>
  <c r="G587" i="2"/>
  <c r="F587" i="2"/>
  <c r="E588" i="2"/>
  <c r="D589" i="2"/>
  <c r="E717" i="2"/>
  <c r="D718" i="2"/>
  <c r="F506" i="2"/>
  <c r="H506" i="2"/>
  <c r="G506" i="2"/>
  <c r="E507" i="2"/>
  <c r="F804" i="2"/>
  <c r="B805" i="2"/>
  <c r="D804" i="2"/>
  <c r="C804" i="2"/>
  <c r="B240" i="2"/>
  <c r="D239" i="2"/>
  <c r="C239" i="2"/>
  <c r="G130" i="2"/>
  <c r="B131" i="2"/>
  <c r="C130" i="2"/>
  <c r="D130" i="2"/>
  <c r="F130" i="2"/>
  <c r="E130" i="2"/>
  <c r="S398" i="2"/>
  <c r="Q398" i="2"/>
  <c r="O399" i="2"/>
  <c r="B333" i="2"/>
  <c r="D332" i="2"/>
  <c r="E332" i="2"/>
  <c r="U332" i="2"/>
  <c r="G716" i="2"/>
  <c r="F716" i="2"/>
  <c r="J129" i="2"/>
  <c r="I130" i="2"/>
  <c r="G131" i="2"/>
  <c r="B132" i="2"/>
  <c r="F131" i="2"/>
  <c r="D131" i="2"/>
  <c r="C131" i="2"/>
  <c r="E131" i="2"/>
  <c r="D240" i="2"/>
  <c r="B241" i="2"/>
  <c r="C240" i="2"/>
  <c r="I131" i="2"/>
  <c r="J130" i="2"/>
  <c r="Q399" i="2"/>
  <c r="O400" i="2"/>
  <c r="S399" i="2"/>
  <c r="B806" i="2"/>
  <c r="F805" i="2"/>
  <c r="C805" i="2"/>
  <c r="D805" i="2"/>
  <c r="G507" i="2"/>
  <c r="E508" i="2"/>
  <c r="F507" i="2"/>
  <c r="H507" i="2"/>
  <c r="E718" i="2"/>
  <c r="D719" i="2"/>
  <c r="E589" i="2"/>
  <c r="D590" i="2"/>
  <c r="B334" i="2"/>
  <c r="U333" i="2"/>
  <c r="D333" i="2"/>
  <c r="E333" i="2"/>
  <c r="F717" i="2"/>
  <c r="G717" i="2"/>
  <c r="G588" i="2"/>
  <c r="F588" i="2"/>
  <c r="U334" i="2"/>
  <c r="E334" i="2"/>
  <c r="B335" i="2"/>
  <c r="D334" i="2"/>
  <c r="F589" i="2"/>
  <c r="G589" i="2"/>
  <c r="E719" i="2"/>
  <c r="D720" i="2"/>
  <c r="I132" i="2"/>
  <c r="J131" i="2"/>
  <c r="B242" i="2"/>
  <c r="D241" i="2"/>
  <c r="C241" i="2"/>
  <c r="F132" i="2"/>
  <c r="D132" i="2"/>
  <c r="E132" i="2"/>
  <c r="G132" i="2"/>
  <c r="C132" i="2"/>
  <c r="B133" i="2"/>
  <c r="F508" i="2"/>
  <c r="H508" i="2"/>
  <c r="G508" i="2"/>
  <c r="E509" i="2"/>
  <c r="E590" i="2"/>
  <c r="D591" i="2"/>
  <c r="G718" i="2"/>
  <c r="F718" i="2"/>
  <c r="F806" i="2"/>
  <c r="B807" i="2"/>
  <c r="C806" i="2"/>
  <c r="D806" i="2"/>
  <c r="S400" i="2"/>
  <c r="O401" i="2"/>
  <c r="Q400" i="2"/>
  <c r="G590" i="2"/>
  <c r="F590" i="2"/>
  <c r="G509" i="2"/>
  <c r="E510" i="2"/>
  <c r="F509" i="2"/>
  <c r="G133" i="2"/>
  <c r="F133" i="2"/>
  <c r="B134" i="2"/>
  <c r="E133" i="2"/>
  <c r="C133" i="2"/>
  <c r="D133" i="2"/>
  <c r="D242" i="2"/>
  <c r="C242" i="2"/>
  <c r="B243" i="2"/>
  <c r="J132" i="2"/>
  <c r="I133" i="2"/>
  <c r="F719" i="2"/>
  <c r="G719" i="2"/>
  <c r="Q401" i="2"/>
  <c r="S401" i="2"/>
  <c r="O402" i="2"/>
  <c r="F807" i="2"/>
  <c r="B808" i="2"/>
  <c r="C807" i="2"/>
  <c r="D807" i="2"/>
  <c r="E591" i="2"/>
  <c r="D592" i="2"/>
  <c r="E720" i="2"/>
  <c r="D721" i="2"/>
  <c r="B336" i="2"/>
  <c r="U335" i="2"/>
  <c r="D335" i="2"/>
  <c r="E335" i="2"/>
  <c r="F720" i="2"/>
  <c r="G720" i="2"/>
  <c r="G591" i="2"/>
  <c r="F591" i="2"/>
  <c r="Q402" i="2"/>
  <c r="S402" i="2"/>
  <c r="O403" i="2"/>
  <c r="U336" i="2"/>
  <c r="E336" i="2"/>
  <c r="B337" i="2"/>
  <c r="F808" i="2"/>
  <c r="B809" i="2"/>
  <c r="D808" i="2"/>
  <c r="C808" i="2"/>
  <c r="E721" i="2"/>
  <c r="D722" i="2"/>
  <c r="E592" i="2"/>
  <c r="D593" i="2"/>
  <c r="J133" i="2"/>
  <c r="I134" i="2"/>
  <c r="D243" i="2"/>
  <c r="B244" i="2"/>
  <c r="C243" i="2"/>
  <c r="G134" i="2"/>
  <c r="B135" i="2"/>
  <c r="C134" i="2"/>
  <c r="D134" i="2"/>
  <c r="F134" i="2"/>
  <c r="E134" i="2"/>
  <c r="G510" i="2"/>
  <c r="F510" i="2"/>
  <c r="E511" i="2"/>
  <c r="G511" i="2"/>
  <c r="E512" i="2"/>
  <c r="F511" i="2"/>
  <c r="C244" i="2"/>
  <c r="D244" i="2"/>
  <c r="B245" i="2"/>
  <c r="I135" i="2"/>
  <c r="J134" i="2"/>
  <c r="E593" i="2"/>
  <c r="D594" i="2"/>
  <c r="G721" i="2"/>
  <c r="F721" i="2"/>
  <c r="Q403" i="2"/>
  <c r="S403" i="2"/>
  <c r="O404" i="2"/>
  <c r="G135" i="2"/>
  <c r="B136" i="2"/>
  <c r="F135" i="2"/>
  <c r="C135" i="2"/>
  <c r="E135" i="2"/>
  <c r="D135" i="2"/>
  <c r="G592" i="2"/>
  <c r="F592" i="2"/>
  <c r="E722" i="2"/>
  <c r="D723" i="2"/>
  <c r="B810" i="2"/>
  <c r="F809" i="2"/>
  <c r="D809" i="2"/>
  <c r="C809" i="2"/>
  <c r="U337" i="2"/>
  <c r="E337" i="2"/>
  <c r="B338" i="2"/>
  <c r="U338" i="2"/>
  <c r="E338" i="2"/>
  <c r="B339" i="2"/>
  <c r="F810" i="2"/>
  <c r="B811" i="2"/>
  <c r="D810" i="2"/>
  <c r="C810" i="2"/>
  <c r="F722" i="2"/>
  <c r="G722" i="2"/>
  <c r="F136" i="2"/>
  <c r="D136" i="2"/>
  <c r="E136" i="2"/>
  <c r="B137" i="2"/>
  <c r="G136" i="2"/>
  <c r="C136" i="2"/>
  <c r="Q404" i="2"/>
  <c r="O405" i="2"/>
  <c r="S404" i="2"/>
  <c r="G593" i="2"/>
  <c r="F593" i="2"/>
  <c r="D245" i="2"/>
  <c r="B246" i="2"/>
  <c r="C245" i="2"/>
  <c r="G512" i="2"/>
  <c r="F512" i="2"/>
  <c r="E513" i="2"/>
  <c r="E723" i="2"/>
  <c r="D724" i="2"/>
  <c r="E594" i="2"/>
  <c r="D595" i="2"/>
  <c r="I136" i="2"/>
  <c r="J135" i="2"/>
  <c r="E595" i="2"/>
  <c r="D596" i="2"/>
  <c r="F723" i="2"/>
  <c r="G723" i="2"/>
  <c r="J136" i="2"/>
  <c r="I137" i="2"/>
  <c r="G594" i="2"/>
  <c r="F594" i="2"/>
  <c r="E724" i="2"/>
  <c r="D725" i="2"/>
  <c r="G513" i="2"/>
  <c r="E514" i="2"/>
  <c r="F513" i="2"/>
  <c r="C246" i="2"/>
  <c r="D246" i="2"/>
  <c r="B247" i="2"/>
  <c r="S405" i="2"/>
  <c r="Q405" i="2"/>
  <c r="O406" i="2"/>
  <c r="G137" i="2"/>
  <c r="F137" i="2"/>
  <c r="B138" i="2"/>
  <c r="E137" i="2"/>
  <c r="C137" i="2"/>
  <c r="D137" i="2"/>
  <c r="F811" i="2"/>
  <c r="B812" i="2"/>
  <c r="D811" i="2"/>
  <c r="C811" i="2"/>
  <c r="U339" i="2"/>
  <c r="B340" i="2"/>
  <c r="E339" i="2"/>
  <c r="F138" i="2"/>
  <c r="D138" i="2"/>
  <c r="E138" i="2"/>
  <c r="G138" i="2"/>
  <c r="C138" i="2"/>
  <c r="B139" i="2"/>
  <c r="D247" i="2"/>
  <c r="B248" i="2"/>
  <c r="C247" i="2"/>
  <c r="G514" i="2"/>
  <c r="F514" i="2"/>
  <c r="E515" i="2"/>
  <c r="E725" i="2"/>
  <c r="D726" i="2"/>
  <c r="G595" i="2"/>
  <c r="F595" i="2"/>
  <c r="U340" i="2"/>
  <c r="E340" i="2"/>
  <c r="B341" i="2"/>
  <c r="F812" i="2"/>
  <c r="B813" i="2"/>
  <c r="D812" i="2"/>
  <c r="C812" i="2"/>
  <c r="Q406" i="2"/>
  <c r="O407" i="2"/>
  <c r="S406" i="2"/>
  <c r="G724" i="2"/>
  <c r="F724" i="2"/>
  <c r="J137" i="2"/>
  <c r="I138" i="2"/>
  <c r="E596" i="2"/>
  <c r="D597" i="2"/>
  <c r="E597" i="2"/>
  <c r="D598" i="2"/>
  <c r="S407" i="2"/>
  <c r="O408" i="2"/>
  <c r="Q407" i="2"/>
  <c r="B814" i="2"/>
  <c r="F813" i="2"/>
  <c r="D813" i="2"/>
  <c r="C813" i="2"/>
  <c r="G515" i="2"/>
  <c r="E516" i="2"/>
  <c r="F515" i="2"/>
  <c r="C248" i="2"/>
  <c r="D248" i="2"/>
  <c r="B249" i="2"/>
  <c r="G139" i="2"/>
  <c r="B140" i="2"/>
  <c r="F139" i="2"/>
  <c r="C139" i="2"/>
  <c r="E139" i="2"/>
  <c r="D139" i="2"/>
  <c r="U341" i="2"/>
  <c r="E341" i="2"/>
  <c r="B342" i="2"/>
  <c r="E726" i="2"/>
  <c r="D727" i="2"/>
  <c r="G596" i="2"/>
  <c r="F596" i="2"/>
  <c r="I139" i="2"/>
  <c r="J138" i="2"/>
  <c r="F725" i="2"/>
  <c r="G725" i="2"/>
  <c r="I140" i="2"/>
  <c r="J139" i="2"/>
  <c r="E727" i="2"/>
  <c r="D728" i="2"/>
  <c r="U342" i="2"/>
  <c r="E342" i="2"/>
  <c r="B343" i="2"/>
  <c r="F726" i="2"/>
  <c r="G726" i="2"/>
  <c r="F140" i="2"/>
  <c r="D140" i="2"/>
  <c r="E140" i="2"/>
  <c r="B141" i="2"/>
  <c r="G140" i="2"/>
  <c r="C140" i="2"/>
  <c r="D249" i="2"/>
  <c r="B250" i="2"/>
  <c r="C249" i="2"/>
  <c r="G516" i="2"/>
  <c r="F516" i="2"/>
  <c r="E517" i="2"/>
  <c r="F597" i="2"/>
  <c r="G597" i="2"/>
  <c r="F814" i="2"/>
  <c r="B815" i="2"/>
  <c r="C814" i="2"/>
  <c r="D814" i="2"/>
  <c r="Q408" i="2"/>
  <c r="O409" i="2"/>
  <c r="S408" i="2"/>
  <c r="E598" i="2"/>
  <c r="D599" i="2"/>
  <c r="E599" i="2"/>
  <c r="D600" i="2"/>
  <c r="S409" i="2"/>
  <c r="Q409" i="2"/>
  <c r="O410" i="2"/>
  <c r="F815" i="2"/>
  <c r="B816" i="2"/>
  <c r="D815" i="2"/>
  <c r="C815" i="2"/>
  <c r="E728" i="2"/>
  <c r="D729" i="2"/>
  <c r="G598" i="2"/>
  <c r="F598" i="2"/>
  <c r="G517" i="2"/>
  <c r="E518" i="2"/>
  <c r="F517" i="2"/>
  <c r="C250" i="2"/>
  <c r="D250" i="2"/>
  <c r="B251" i="2"/>
  <c r="G141" i="2"/>
  <c r="F141" i="2"/>
  <c r="B142" i="2"/>
  <c r="E141" i="2"/>
  <c r="C141" i="2"/>
  <c r="D141" i="2"/>
  <c r="U343" i="2"/>
  <c r="B344" i="2"/>
  <c r="E343" i="2"/>
  <c r="F727" i="2"/>
  <c r="G727" i="2"/>
  <c r="J140" i="2"/>
  <c r="I141" i="2"/>
  <c r="J141" i="2"/>
  <c r="I142" i="2"/>
  <c r="F142" i="2"/>
  <c r="D142" i="2"/>
  <c r="E142" i="2"/>
  <c r="G142" i="2"/>
  <c r="C142" i="2"/>
  <c r="B143" i="2"/>
  <c r="E729" i="2"/>
  <c r="D730" i="2"/>
  <c r="F816" i="2"/>
  <c r="B817" i="2"/>
  <c r="D816" i="2"/>
  <c r="C816" i="2"/>
  <c r="Q410" i="2"/>
  <c r="O411" i="2"/>
  <c r="S410" i="2"/>
  <c r="G599" i="2"/>
  <c r="F599" i="2"/>
  <c r="U344" i="2"/>
  <c r="E344" i="2"/>
  <c r="B345" i="2"/>
  <c r="D251" i="2"/>
  <c r="B252" i="2"/>
  <c r="C251" i="2"/>
  <c r="G518" i="2"/>
  <c r="F518" i="2"/>
  <c r="E519" i="2"/>
  <c r="G728" i="2"/>
  <c r="F728" i="2"/>
  <c r="E600" i="2"/>
  <c r="D601" i="2"/>
  <c r="E601" i="2"/>
  <c r="D602" i="2"/>
  <c r="S411" i="2"/>
  <c r="O412" i="2"/>
  <c r="Q411" i="2"/>
  <c r="B818" i="2"/>
  <c r="F817" i="2"/>
  <c r="D817" i="2"/>
  <c r="C817" i="2"/>
  <c r="E730" i="2"/>
  <c r="D731" i="2"/>
  <c r="G143" i="2"/>
  <c r="B144" i="2"/>
  <c r="F143" i="2"/>
  <c r="C143" i="2"/>
  <c r="E143" i="2"/>
  <c r="D143" i="2"/>
  <c r="J142" i="2"/>
  <c r="I143" i="2"/>
  <c r="G600" i="2"/>
  <c r="F600" i="2"/>
  <c r="G519" i="2"/>
  <c r="E520" i="2"/>
  <c r="F519" i="2"/>
  <c r="C252" i="2"/>
  <c r="B253" i="2"/>
  <c r="D252" i="2"/>
  <c r="U345" i="2"/>
  <c r="B346" i="2"/>
  <c r="E345" i="2"/>
  <c r="F729" i="2"/>
  <c r="G729" i="2"/>
  <c r="D253" i="2"/>
  <c r="B254" i="2"/>
  <c r="C253" i="2"/>
  <c r="J143" i="2"/>
  <c r="I144" i="2"/>
  <c r="F144" i="2"/>
  <c r="D144" i="2"/>
  <c r="E144" i="2"/>
  <c r="B145" i="2"/>
  <c r="G144" i="2"/>
  <c r="C144" i="2"/>
  <c r="E731" i="2"/>
  <c r="D732" i="2"/>
  <c r="G601" i="2"/>
  <c r="F601" i="2"/>
  <c r="U346" i="2"/>
  <c r="B347" i="2"/>
  <c r="E346" i="2"/>
  <c r="G520" i="2"/>
  <c r="F520" i="2"/>
  <c r="E521" i="2"/>
  <c r="G730" i="2"/>
  <c r="F730" i="2"/>
  <c r="F818" i="2"/>
  <c r="B819" i="2"/>
  <c r="C818" i="2"/>
  <c r="D818" i="2"/>
  <c r="Q412" i="2"/>
  <c r="O413" i="2"/>
  <c r="S412" i="2"/>
  <c r="E602" i="2"/>
  <c r="D603" i="2"/>
  <c r="E603" i="2"/>
  <c r="D604" i="2"/>
  <c r="S413" i="2"/>
  <c r="Q413" i="2"/>
  <c r="O414" i="2"/>
  <c r="F819" i="2"/>
  <c r="B820" i="2"/>
  <c r="D819" i="2"/>
  <c r="C819" i="2"/>
  <c r="G521" i="2"/>
  <c r="E522" i="2"/>
  <c r="F521" i="2"/>
  <c r="F731" i="2"/>
  <c r="G731" i="2"/>
  <c r="B255" i="2"/>
  <c r="D254" i="2"/>
  <c r="C254" i="2"/>
  <c r="U347" i="2"/>
  <c r="B348" i="2"/>
  <c r="E347" i="2"/>
  <c r="G602" i="2"/>
  <c r="F602" i="2"/>
  <c r="E732" i="2"/>
  <c r="D733" i="2"/>
  <c r="G145" i="2"/>
  <c r="F145" i="2"/>
  <c r="B146" i="2"/>
  <c r="E145" i="2"/>
  <c r="C145" i="2"/>
  <c r="D145" i="2"/>
  <c r="I145" i="2"/>
  <c r="J144" i="2"/>
  <c r="I146" i="2"/>
  <c r="J145" i="2"/>
  <c r="G146" i="2"/>
  <c r="B147" i="2"/>
  <c r="C146" i="2"/>
  <c r="F146" i="2"/>
  <c r="E146" i="2"/>
  <c r="D146" i="2"/>
  <c r="G732" i="2"/>
  <c r="F732" i="2"/>
  <c r="E733" i="2"/>
  <c r="D734" i="2"/>
  <c r="E348" i="2"/>
  <c r="B349" i="2"/>
  <c r="D255" i="2"/>
  <c r="B256" i="2"/>
  <c r="C255" i="2"/>
  <c r="G522" i="2"/>
  <c r="F522" i="2"/>
  <c r="E523" i="2"/>
  <c r="F820" i="2"/>
  <c r="B821" i="2"/>
  <c r="D820" i="2"/>
  <c r="C820" i="2"/>
  <c r="Q414" i="2"/>
  <c r="O415" i="2"/>
  <c r="S414" i="2"/>
  <c r="G603" i="2"/>
  <c r="F603" i="2"/>
  <c r="E604" i="2"/>
  <c r="D605" i="2"/>
  <c r="G604" i="2"/>
  <c r="F604" i="2"/>
  <c r="S415" i="2"/>
  <c r="O416" i="2"/>
  <c r="Q415" i="2"/>
  <c r="B822" i="2"/>
  <c r="F821" i="2"/>
  <c r="D821" i="2"/>
  <c r="C821" i="2"/>
  <c r="G523" i="2"/>
  <c r="E524" i="2"/>
  <c r="F523" i="2"/>
  <c r="D256" i="2"/>
  <c r="B257" i="2"/>
  <c r="C256" i="2"/>
  <c r="B350" i="2"/>
  <c r="E349" i="2"/>
  <c r="E734" i="2"/>
  <c r="D735" i="2"/>
  <c r="G147" i="2"/>
  <c r="B148" i="2"/>
  <c r="F147" i="2"/>
  <c r="C147" i="2"/>
  <c r="D147" i="2"/>
  <c r="E147" i="2"/>
  <c r="E605" i="2"/>
  <c r="D606" i="2"/>
  <c r="F733" i="2"/>
  <c r="G733" i="2"/>
  <c r="I147" i="2"/>
  <c r="J146" i="2"/>
  <c r="F605" i="2"/>
  <c r="G605" i="2"/>
  <c r="F148" i="2"/>
  <c r="D148" i="2"/>
  <c r="E148" i="2"/>
  <c r="G148" i="2"/>
  <c r="B149" i="2"/>
  <c r="C148" i="2"/>
  <c r="E735" i="2"/>
  <c r="D736" i="2"/>
  <c r="I148" i="2"/>
  <c r="J147" i="2"/>
  <c r="G524" i="2"/>
  <c r="F524" i="2"/>
  <c r="E525" i="2"/>
  <c r="E606" i="2"/>
  <c r="D607" i="2"/>
  <c r="G734" i="2"/>
  <c r="F734" i="2"/>
  <c r="E350" i="2"/>
  <c r="B351" i="2"/>
  <c r="D257" i="2"/>
  <c r="B258" i="2"/>
  <c r="C257" i="2"/>
  <c r="F822" i="2"/>
  <c r="B823" i="2"/>
  <c r="C822" i="2"/>
  <c r="D822" i="2"/>
  <c r="Q416" i="2"/>
  <c r="S416" i="2"/>
  <c r="O417" i="2"/>
  <c r="F823" i="2"/>
  <c r="B824" i="2"/>
  <c r="D823" i="2"/>
  <c r="C823" i="2"/>
  <c r="G606" i="2"/>
  <c r="F606" i="2"/>
  <c r="G525" i="2"/>
  <c r="E526" i="2"/>
  <c r="F525" i="2"/>
  <c r="J148" i="2"/>
  <c r="I149" i="2"/>
  <c r="F735" i="2"/>
  <c r="G735" i="2"/>
  <c r="G149" i="2"/>
  <c r="F149" i="2"/>
  <c r="B150" i="2"/>
  <c r="C149" i="2"/>
  <c r="E149" i="2"/>
  <c r="D149" i="2"/>
  <c r="Q417" i="2"/>
  <c r="S417" i="2"/>
  <c r="O418" i="2"/>
  <c r="D258" i="2"/>
  <c r="C258" i="2"/>
  <c r="B259" i="2"/>
  <c r="B352" i="2"/>
  <c r="E351" i="2"/>
  <c r="E607" i="2"/>
  <c r="D608" i="2"/>
  <c r="E736" i="2"/>
  <c r="D737" i="2"/>
  <c r="F736" i="2"/>
  <c r="G736" i="2"/>
  <c r="G607" i="2"/>
  <c r="F607" i="2"/>
  <c r="D259" i="2"/>
  <c r="B260" i="2"/>
  <c r="C259" i="2"/>
  <c r="I150" i="2"/>
  <c r="J149" i="2"/>
  <c r="F824" i="2"/>
  <c r="B825" i="2"/>
  <c r="D824" i="2"/>
  <c r="C824" i="2"/>
  <c r="E737" i="2"/>
  <c r="D738" i="2"/>
  <c r="E608" i="2"/>
  <c r="D609" i="2"/>
  <c r="B353" i="2"/>
  <c r="E352" i="2"/>
  <c r="Q418" i="2"/>
  <c r="S418" i="2"/>
  <c r="O419" i="2"/>
  <c r="G150" i="2"/>
  <c r="B151" i="2"/>
  <c r="C150" i="2"/>
  <c r="F150" i="2"/>
  <c r="D150" i="2"/>
  <c r="E150" i="2"/>
  <c r="G526" i="2"/>
  <c r="F526" i="2"/>
  <c r="E527" i="2"/>
  <c r="G527" i="2"/>
  <c r="E528" i="2"/>
  <c r="F527" i="2"/>
  <c r="C151" i="2"/>
  <c r="D151" i="2"/>
  <c r="E151" i="2"/>
  <c r="G151" i="2"/>
  <c r="B152" i="2"/>
  <c r="F151" i="2"/>
  <c r="Q419" i="2"/>
  <c r="S419" i="2"/>
  <c r="O420" i="2"/>
  <c r="E353" i="2"/>
  <c r="B354" i="2"/>
  <c r="G608" i="2"/>
  <c r="F608" i="2"/>
  <c r="E738" i="2"/>
  <c r="D739" i="2"/>
  <c r="B826" i="2"/>
  <c r="F825" i="2"/>
  <c r="D825" i="2"/>
  <c r="C825" i="2"/>
  <c r="E609" i="2"/>
  <c r="D610" i="2"/>
  <c r="G737" i="2"/>
  <c r="F737" i="2"/>
  <c r="J150" i="2"/>
  <c r="I151" i="2"/>
  <c r="B261" i="2"/>
  <c r="D260" i="2"/>
  <c r="C260" i="2"/>
  <c r="B262" i="2"/>
  <c r="C261" i="2"/>
  <c r="D261" i="2"/>
  <c r="E739" i="2"/>
  <c r="D740" i="2"/>
  <c r="E740" i="2"/>
  <c r="I152" i="2"/>
  <c r="J151" i="2"/>
  <c r="E610" i="2"/>
  <c r="D611" i="2"/>
  <c r="F826" i="2"/>
  <c r="B827" i="2"/>
  <c r="D826" i="2"/>
  <c r="C826" i="2"/>
  <c r="F738" i="2"/>
  <c r="G738" i="2"/>
  <c r="E354" i="2"/>
  <c r="B355" i="2"/>
  <c r="Q420" i="2"/>
  <c r="O421" i="2"/>
  <c r="S420" i="2"/>
  <c r="F152" i="2"/>
  <c r="D152" i="2"/>
  <c r="E152" i="2"/>
  <c r="G152" i="2"/>
  <c r="B153" i="2"/>
  <c r="C152" i="2"/>
  <c r="G528" i="2"/>
  <c r="F528" i="2"/>
  <c r="E529" i="2"/>
  <c r="G609" i="2"/>
  <c r="F609" i="2"/>
  <c r="G610" i="2"/>
  <c r="F610" i="2"/>
  <c r="F740" i="2"/>
  <c r="G740" i="2"/>
  <c r="G529" i="2"/>
  <c r="F529" i="2"/>
  <c r="G153" i="2"/>
  <c r="F153" i="2"/>
  <c r="B154" i="2"/>
  <c r="C153" i="2"/>
  <c r="E153" i="2"/>
  <c r="D153" i="2"/>
  <c r="O422" i="2"/>
  <c r="Q421" i="2"/>
  <c r="S421" i="2"/>
  <c r="B356" i="2"/>
  <c r="E355" i="2"/>
  <c r="F827" i="2"/>
  <c r="B828" i="2"/>
  <c r="D827" i="2"/>
  <c r="C827" i="2"/>
  <c r="E611" i="2"/>
  <c r="D612" i="2"/>
  <c r="I153" i="2"/>
  <c r="J152" i="2"/>
  <c r="F739" i="2"/>
  <c r="G739" i="2"/>
  <c r="C262" i="2"/>
  <c r="D262" i="2"/>
  <c r="B263" i="2"/>
  <c r="G611" i="2"/>
  <c r="F611" i="2"/>
  <c r="D263" i="2"/>
  <c r="B264" i="2"/>
  <c r="C263" i="2"/>
  <c r="I154" i="2"/>
  <c r="J154" i="2"/>
  <c r="J153" i="2"/>
  <c r="F828" i="2"/>
  <c r="B829" i="2"/>
  <c r="D828" i="2"/>
  <c r="C828" i="2"/>
  <c r="S422" i="2"/>
  <c r="Q422" i="2"/>
  <c r="O423" i="2"/>
  <c r="G154" i="2"/>
  <c r="B155" i="2"/>
  <c r="C154" i="2"/>
  <c r="F154" i="2"/>
  <c r="D154" i="2"/>
  <c r="E154" i="2"/>
  <c r="E612" i="2"/>
  <c r="D613" i="2"/>
  <c r="B357" i="2"/>
  <c r="E356" i="2"/>
  <c r="E613" i="2"/>
  <c r="D614" i="2"/>
  <c r="C829" i="2"/>
  <c r="B830" i="2"/>
  <c r="F829" i="2"/>
  <c r="D829" i="2"/>
  <c r="B358" i="2"/>
  <c r="E357" i="2"/>
  <c r="G612" i="2"/>
  <c r="F612" i="2"/>
  <c r="G155" i="2"/>
  <c r="B156" i="2"/>
  <c r="F155" i="2"/>
  <c r="C155" i="2"/>
  <c r="D155" i="2"/>
  <c r="E155" i="2"/>
  <c r="Q423" i="2"/>
  <c r="S423" i="2"/>
  <c r="O424" i="2"/>
  <c r="D264" i="2"/>
  <c r="C264" i="2"/>
  <c r="G156" i="2"/>
  <c r="B157" i="2"/>
  <c r="C156" i="2"/>
  <c r="F156" i="2"/>
  <c r="D156" i="2"/>
  <c r="E156" i="2"/>
  <c r="F613" i="2"/>
  <c r="G613" i="2"/>
  <c r="Q424" i="2"/>
  <c r="O425" i="2"/>
  <c r="S424" i="2"/>
  <c r="F830" i="2"/>
  <c r="C830" i="2"/>
  <c r="D830" i="2"/>
  <c r="B831" i="2"/>
  <c r="E614" i="2"/>
  <c r="D615" i="2"/>
  <c r="C157" i="2"/>
  <c r="E157" i="2"/>
  <c r="D157" i="2"/>
  <c r="G157" i="2"/>
  <c r="F157" i="2"/>
  <c r="B158" i="2"/>
  <c r="G614" i="2"/>
  <c r="F614" i="2"/>
  <c r="C831" i="2"/>
  <c r="F831" i="2"/>
  <c r="B832" i="2"/>
  <c r="D831" i="2"/>
  <c r="E615" i="2"/>
  <c r="D616" i="2"/>
  <c r="S425" i="2"/>
  <c r="Q425" i="2"/>
  <c r="O426" i="2"/>
  <c r="Q426" i="2"/>
  <c r="O427" i="2"/>
  <c r="S426" i="2"/>
  <c r="E616" i="2"/>
  <c r="D617" i="2"/>
  <c r="F832" i="2"/>
  <c r="C832" i="2"/>
  <c r="D832" i="2"/>
  <c r="B833" i="2"/>
  <c r="F158" i="2"/>
  <c r="D158" i="2"/>
  <c r="E158" i="2"/>
  <c r="G158" i="2"/>
  <c r="B159" i="2"/>
  <c r="C158" i="2"/>
  <c r="G615" i="2"/>
  <c r="F615" i="2"/>
  <c r="C833" i="2"/>
  <c r="B834" i="2"/>
  <c r="F833" i="2"/>
  <c r="D833" i="2"/>
  <c r="E617" i="2"/>
  <c r="D618" i="2"/>
  <c r="O428" i="2"/>
  <c r="Q427" i="2"/>
  <c r="S427" i="2"/>
  <c r="B160" i="2"/>
  <c r="F159" i="2"/>
  <c r="G159" i="2"/>
  <c r="H159" i="2"/>
  <c r="C159" i="2"/>
  <c r="D159" i="2"/>
  <c r="E159" i="2"/>
  <c r="G616" i="2"/>
  <c r="F616" i="2"/>
  <c r="O429" i="2"/>
  <c r="Q428" i="2"/>
  <c r="S428" i="2"/>
  <c r="G617" i="2"/>
  <c r="F617" i="2"/>
  <c r="F834" i="2"/>
  <c r="C834" i="2"/>
  <c r="D834" i="2"/>
  <c r="B835" i="2"/>
  <c r="G160" i="2"/>
  <c r="B161" i="2"/>
  <c r="C160" i="2"/>
  <c r="F160" i="2"/>
  <c r="D160" i="2"/>
  <c r="E160" i="2"/>
  <c r="E618" i="2"/>
  <c r="D619" i="2"/>
  <c r="G618" i="2"/>
  <c r="F618" i="2"/>
  <c r="G161" i="2"/>
  <c r="F161" i="2"/>
  <c r="B162" i="2"/>
  <c r="C161" i="2"/>
  <c r="E161" i="2"/>
  <c r="D161" i="2"/>
  <c r="C835" i="2"/>
  <c r="F835" i="2"/>
  <c r="B836" i="2"/>
  <c r="D835" i="2"/>
  <c r="E619" i="2"/>
  <c r="D620" i="2"/>
  <c r="S429" i="2"/>
  <c r="Q429" i="2"/>
  <c r="O430" i="2"/>
  <c r="Q430" i="2"/>
  <c r="S430" i="2"/>
  <c r="O431" i="2"/>
  <c r="E620" i="2"/>
  <c r="D621" i="2"/>
  <c r="F836" i="2"/>
  <c r="C836" i="2"/>
  <c r="D836" i="2"/>
  <c r="B837" i="2"/>
  <c r="G162" i="2"/>
  <c r="B163" i="2"/>
  <c r="C162" i="2"/>
  <c r="F162" i="2"/>
  <c r="D162" i="2"/>
  <c r="E162" i="2"/>
  <c r="G619" i="2"/>
  <c r="F619" i="2"/>
  <c r="G163" i="2"/>
  <c r="B164" i="2"/>
  <c r="F163" i="2"/>
  <c r="C163" i="2"/>
  <c r="D163" i="2"/>
  <c r="E163" i="2"/>
  <c r="C837" i="2"/>
  <c r="B838" i="2"/>
  <c r="F837" i="2"/>
  <c r="D837" i="2"/>
  <c r="E621" i="2"/>
  <c r="D622" i="2"/>
  <c r="G620" i="2"/>
  <c r="F620" i="2"/>
  <c r="Q431" i="2"/>
  <c r="S431" i="2"/>
  <c r="O432" i="2"/>
  <c r="F621" i="2"/>
  <c r="G621" i="2"/>
  <c r="F838" i="2"/>
  <c r="C838" i="2"/>
  <c r="D838" i="2"/>
  <c r="B839" i="2"/>
  <c r="G164" i="2"/>
  <c r="D164" i="2"/>
  <c r="B165" i="2"/>
  <c r="F164" i="2"/>
  <c r="C164" i="2"/>
  <c r="E164" i="2"/>
  <c r="Q432" i="2"/>
  <c r="S432" i="2"/>
  <c r="O433" i="2"/>
  <c r="E622" i="2"/>
  <c r="D623" i="2"/>
  <c r="G622" i="2"/>
  <c r="F622" i="2"/>
  <c r="Q433" i="2"/>
  <c r="S433" i="2"/>
  <c r="O434" i="2"/>
  <c r="G165" i="2"/>
  <c r="C165" i="2"/>
  <c r="E165" i="2"/>
  <c r="F165" i="2"/>
  <c r="B166" i="2"/>
  <c r="E623" i="2"/>
  <c r="D624" i="2"/>
  <c r="C839" i="2"/>
  <c r="F839" i="2"/>
  <c r="B840" i="2"/>
  <c r="D839" i="2"/>
  <c r="E624" i="2"/>
  <c r="D625" i="2"/>
  <c r="Q434" i="2"/>
  <c r="S434" i="2"/>
  <c r="O435" i="2"/>
  <c r="F840" i="2"/>
  <c r="C840" i="2"/>
  <c r="D840" i="2"/>
  <c r="B841" i="2"/>
  <c r="G623" i="2"/>
  <c r="F623" i="2"/>
  <c r="F166" i="2"/>
  <c r="B167" i="2"/>
  <c r="G166" i="2"/>
  <c r="C166" i="2"/>
  <c r="E166" i="2"/>
  <c r="C841" i="2"/>
  <c r="B842" i="2"/>
  <c r="F841" i="2"/>
  <c r="D841" i="2"/>
  <c r="Q435" i="2"/>
  <c r="O436" i="2"/>
  <c r="S435" i="2"/>
  <c r="G624" i="2"/>
  <c r="F624" i="2"/>
  <c r="G167" i="2"/>
  <c r="C167" i="2"/>
  <c r="B168" i="2"/>
  <c r="F167" i="2"/>
  <c r="E167" i="2"/>
  <c r="E625" i="2"/>
  <c r="D626" i="2"/>
  <c r="E626" i="2"/>
  <c r="D627" i="2"/>
  <c r="S436" i="2"/>
  <c r="Q436" i="2"/>
  <c r="O437" i="2"/>
  <c r="F842" i="2"/>
  <c r="C842" i="2"/>
  <c r="D842" i="2"/>
  <c r="B843" i="2"/>
  <c r="G625" i="2"/>
  <c r="F625" i="2"/>
  <c r="F168" i="2"/>
  <c r="B169" i="2"/>
  <c r="G168" i="2"/>
  <c r="C168" i="2"/>
  <c r="E168" i="2"/>
  <c r="C843" i="2"/>
  <c r="F843" i="2"/>
  <c r="B844" i="2"/>
  <c r="D843" i="2"/>
  <c r="Q437" i="2"/>
  <c r="O438" i="2"/>
  <c r="S437" i="2"/>
  <c r="G626" i="2"/>
  <c r="F626" i="2"/>
  <c r="G169" i="2"/>
  <c r="C169" i="2"/>
  <c r="B170" i="2"/>
  <c r="F169" i="2"/>
  <c r="E169" i="2"/>
  <c r="E627" i="2"/>
  <c r="D628" i="2"/>
  <c r="E628" i="2"/>
  <c r="D629" i="2"/>
  <c r="S438" i="2"/>
  <c r="Q438" i="2"/>
  <c r="O439" i="2"/>
  <c r="G627" i="2"/>
  <c r="F627" i="2"/>
  <c r="F170" i="2"/>
  <c r="B171" i="2"/>
  <c r="G170" i="2"/>
  <c r="C170" i="2"/>
  <c r="E170" i="2"/>
  <c r="F844" i="2"/>
  <c r="C844" i="2"/>
  <c r="D844" i="2"/>
  <c r="B845" i="2"/>
  <c r="G628" i="2"/>
  <c r="F628" i="2"/>
  <c r="C845" i="2"/>
  <c r="B846" i="2"/>
  <c r="F845" i="2"/>
  <c r="D845" i="2"/>
  <c r="Q439" i="2"/>
  <c r="O440" i="2"/>
  <c r="S439" i="2"/>
  <c r="G171" i="2"/>
  <c r="C171" i="2"/>
  <c r="B172" i="2"/>
  <c r="F171" i="2"/>
  <c r="E171" i="2"/>
  <c r="E629" i="2"/>
  <c r="D630" i="2"/>
  <c r="E630" i="2"/>
  <c r="D631" i="2"/>
  <c r="F629" i="2"/>
  <c r="G629" i="2"/>
  <c r="F172" i="2"/>
  <c r="B173" i="2"/>
  <c r="G172" i="2"/>
  <c r="C172" i="2"/>
  <c r="E172" i="2"/>
  <c r="S440" i="2"/>
  <c r="Q440" i="2"/>
  <c r="O441" i="2"/>
  <c r="F846" i="2"/>
  <c r="C846" i="2"/>
  <c r="D846" i="2"/>
  <c r="B847" i="2"/>
  <c r="C847" i="2"/>
  <c r="F847" i="2"/>
  <c r="B848" i="2"/>
  <c r="D847" i="2"/>
  <c r="Q441" i="2"/>
  <c r="O442" i="2"/>
  <c r="S441" i="2"/>
  <c r="G173" i="2"/>
  <c r="E173" i="2"/>
  <c r="F173" i="2"/>
  <c r="C173" i="2"/>
  <c r="G630" i="2"/>
  <c r="F630" i="2"/>
  <c r="E631" i="2"/>
  <c r="D632" i="2"/>
  <c r="G631" i="2"/>
  <c r="F631" i="2"/>
  <c r="S442" i="2"/>
  <c r="Q442" i="2"/>
  <c r="O443" i="2"/>
  <c r="E632" i="2"/>
  <c r="D633" i="2"/>
  <c r="F848" i="2"/>
  <c r="C848" i="2"/>
  <c r="D848" i="2"/>
  <c r="B849" i="2"/>
  <c r="G632" i="2"/>
  <c r="F632" i="2"/>
  <c r="Q443" i="2"/>
  <c r="S443" i="2"/>
  <c r="O444" i="2"/>
  <c r="C849" i="2"/>
  <c r="B850" i="2"/>
  <c r="F849" i="2"/>
  <c r="D849" i="2"/>
  <c r="E633" i="2"/>
  <c r="D634" i="2"/>
  <c r="G633" i="2"/>
  <c r="F633" i="2"/>
  <c r="F850" i="2"/>
  <c r="C850" i="2"/>
  <c r="D850" i="2"/>
  <c r="B851" i="2"/>
  <c r="Q444" i="2"/>
  <c r="S444" i="2"/>
  <c r="O445" i="2"/>
  <c r="E634" i="2"/>
  <c r="D635" i="2"/>
  <c r="G634" i="2"/>
  <c r="F634" i="2"/>
  <c r="Q445" i="2"/>
  <c r="S445" i="2"/>
  <c r="O446" i="2"/>
  <c r="E635" i="2"/>
  <c r="D636" i="2"/>
  <c r="C851" i="2"/>
  <c r="F851" i="2"/>
  <c r="B852" i="2"/>
  <c r="D851" i="2"/>
  <c r="G635" i="2"/>
  <c r="F635" i="2"/>
  <c r="Q446" i="2"/>
  <c r="S446" i="2"/>
  <c r="O447" i="2"/>
  <c r="F852" i="2"/>
  <c r="C852" i="2"/>
  <c r="D852" i="2"/>
  <c r="B853" i="2"/>
  <c r="E636" i="2"/>
  <c r="D637" i="2"/>
  <c r="G636" i="2"/>
  <c r="F636" i="2"/>
  <c r="C853" i="2"/>
  <c r="B854" i="2"/>
  <c r="F853" i="2"/>
  <c r="D853" i="2"/>
  <c r="Q447" i="2"/>
  <c r="S447" i="2"/>
  <c r="O448" i="2"/>
  <c r="E637" i="2"/>
  <c r="D638" i="2"/>
  <c r="F637" i="2"/>
  <c r="G637" i="2"/>
  <c r="Q448" i="2"/>
  <c r="S448" i="2"/>
  <c r="O449" i="2"/>
  <c r="E638" i="2"/>
  <c r="D639" i="2"/>
  <c r="F854" i="2"/>
  <c r="C854" i="2"/>
  <c r="D854" i="2"/>
  <c r="B855" i="2"/>
  <c r="G638" i="2"/>
  <c r="F638" i="2"/>
  <c r="Q449" i="2"/>
  <c r="S449" i="2"/>
  <c r="O450" i="2"/>
  <c r="C855" i="2"/>
  <c r="F855" i="2"/>
  <c r="B856" i="2"/>
  <c r="D855" i="2"/>
  <c r="E639" i="2"/>
  <c r="D640" i="2"/>
  <c r="G639" i="2"/>
  <c r="F639" i="2"/>
  <c r="Q450" i="2"/>
  <c r="S450" i="2"/>
  <c r="O451" i="2"/>
  <c r="E640" i="2"/>
  <c r="D641" i="2"/>
  <c r="F856" i="2"/>
  <c r="C856" i="2"/>
  <c r="D856" i="2"/>
  <c r="B857" i="2"/>
  <c r="G640" i="2"/>
  <c r="F640" i="2"/>
  <c r="Q451" i="2"/>
  <c r="S451" i="2"/>
  <c r="O452" i="2"/>
  <c r="C857" i="2"/>
  <c r="B858" i="2"/>
  <c r="F857" i="2"/>
  <c r="D857" i="2"/>
  <c r="E641" i="2"/>
  <c r="D642" i="2"/>
  <c r="G641" i="2"/>
  <c r="F641" i="2"/>
  <c r="F858" i="2"/>
  <c r="C858" i="2"/>
  <c r="D858" i="2"/>
  <c r="B859" i="2"/>
  <c r="Q452" i="2"/>
  <c r="S452" i="2"/>
  <c r="O453" i="2"/>
  <c r="E642" i="2"/>
  <c r="D643" i="2"/>
  <c r="G642" i="2"/>
  <c r="F642" i="2"/>
  <c r="Q453" i="2"/>
  <c r="S453" i="2"/>
  <c r="O454" i="2"/>
  <c r="E643" i="2"/>
  <c r="D644" i="2"/>
  <c r="C859" i="2"/>
  <c r="F859" i="2"/>
  <c r="B860" i="2"/>
  <c r="D859" i="2"/>
  <c r="F860" i="2"/>
  <c r="C860" i="2"/>
  <c r="D860" i="2"/>
  <c r="B861" i="2"/>
  <c r="G643" i="2"/>
  <c r="F643" i="2"/>
  <c r="Q454" i="2"/>
  <c r="S454" i="2"/>
  <c r="O455" i="2"/>
  <c r="E644" i="2"/>
  <c r="D645" i="2"/>
  <c r="G644" i="2"/>
  <c r="F644" i="2"/>
  <c r="Q455" i="2"/>
  <c r="S455" i="2"/>
  <c r="O456" i="2"/>
  <c r="C861" i="2"/>
  <c r="B862" i="2"/>
  <c r="F861" i="2"/>
  <c r="D861" i="2"/>
  <c r="E645" i="2"/>
  <c r="D646" i="2"/>
  <c r="F645" i="2"/>
  <c r="G645" i="2"/>
  <c r="F862" i="2"/>
  <c r="C862" i="2"/>
  <c r="D862" i="2"/>
  <c r="B863" i="2"/>
  <c r="Q456" i="2"/>
  <c r="S456" i="2"/>
  <c r="O457" i="2"/>
  <c r="E646" i="2"/>
  <c r="D647" i="2"/>
  <c r="G646" i="2"/>
  <c r="F646" i="2"/>
  <c r="Q457" i="2"/>
  <c r="S457" i="2"/>
  <c r="O458" i="2"/>
  <c r="E647" i="2"/>
  <c r="D648" i="2"/>
  <c r="C863" i="2"/>
  <c r="F863" i="2"/>
  <c r="B864" i="2"/>
  <c r="D863" i="2"/>
  <c r="F864" i="2"/>
  <c r="C864" i="2"/>
  <c r="D864" i="2"/>
  <c r="B865" i="2"/>
  <c r="G647" i="2"/>
  <c r="F647" i="2"/>
  <c r="Q458" i="2"/>
  <c r="S458" i="2"/>
  <c r="O459" i="2"/>
  <c r="E648" i="2"/>
  <c r="D649" i="2"/>
  <c r="G648" i="2"/>
  <c r="F648" i="2"/>
  <c r="Q459" i="2"/>
  <c r="S459" i="2"/>
  <c r="O460" i="2"/>
  <c r="C865" i="2"/>
  <c r="B866" i="2"/>
  <c r="F865" i="2"/>
  <c r="D865" i="2"/>
  <c r="E649" i="2"/>
  <c r="D650" i="2"/>
  <c r="G649" i="2"/>
  <c r="F649" i="2"/>
  <c r="F866" i="2"/>
  <c r="C866" i="2"/>
  <c r="D866" i="2"/>
  <c r="B867" i="2"/>
  <c r="Q460" i="2"/>
  <c r="O461" i="2"/>
  <c r="S460" i="2"/>
  <c r="E650" i="2"/>
  <c r="D651" i="2"/>
  <c r="G650" i="2"/>
  <c r="F650" i="2"/>
  <c r="E651" i="2"/>
  <c r="D652" i="2"/>
  <c r="S461" i="2"/>
  <c r="Q461" i="2"/>
  <c r="O462" i="2"/>
  <c r="C867" i="2"/>
  <c r="F867" i="2"/>
  <c r="B868" i="2"/>
  <c r="D867" i="2"/>
  <c r="F868" i="2"/>
  <c r="C868" i="2"/>
  <c r="D868" i="2"/>
  <c r="B869" i="2"/>
  <c r="E652" i="2"/>
  <c r="D653" i="2"/>
  <c r="Q462" i="2"/>
  <c r="O463" i="2"/>
  <c r="S462" i="2"/>
  <c r="G651" i="2"/>
  <c r="F651" i="2"/>
  <c r="G652" i="2"/>
  <c r="F652" i="2"/>
  <c r="C869" i="2"/>
  <c r="B870" i="2"/>
  <c r="F869" i="2"/>
  <c r="D869" i="2"/>
  <c r="S463" i="2"/>
  <c r="Q463" i="2"/>
  <c r="D654" i="2"/>
  <c r="E653" i="2"/>
  <c r="F653" i="2"/>
  <c r="G653" i="2"/>
  <c r="E654" i="2"/>
  <c r="D655" i="2"/>
  <c r="F870" i="2"/>
  <c r="C870" i="2"/>
  <c r="D870" i="2"/>
  <c r="B871" i="2"/>
  <c r="F871" i="2"/>
  <c r="C871" i="2"/>
  <c r="B872" i="2"/>
  <c r="D871" i="2"/>
  <c r="E655" i="2"/>
  <c r="D656" i="2"/>
  <c r="G654" i="2"/>
  <c r="F654" i="2"/>
  <c r="G655" i="2"/>
  <c r="F655" i="2"/>
  <c r="E656" i="2"/>
  <c r="D657" i="2"/>
  <c r="F872" i="2"/>
  <c r="C872" i="2"/>
  <c r="D872" i="2"/>
  <c r="B873" i="2"/>
  <c r="C873" i="2"/>
  <c r="B874" i="2"/>
  <c r="F873" i="2"/>
  <c r="D873" i="2"/>
  <c r="E657" i="2"/>
  <c r="D658" i="2"/>
  <c r="G656" i="2"/>
  <c r="F656" i="2"/>
  <c r="G657" i="2"/>
  <c r="F657" i="2"/>
  <c r="F874" i="2"/>
  <c r="C874" i="2"/>
  <c r="D874" i="2"/>
  <c r="B875" i="2"/>
  <c r="E658" i="2"/>
  <c r="D659" i="2"/>
  <c r="D660" i="2"/>
  <c r="E659" i="2"/>
  <c r="G658" i="2"/>
  <c r="F658" i="2"/>
  <c r="F875" i="2"/>
  <c r="C875" i="2"/>
  <c r="B876" i="2"/>
  <c r="D875" i="2"/>
  <c r="E660" i="2"/>
  <c r="D661" i="2"/>
  <c r="F876" i="2"/>
  <c r="C876" i="2"/>
  <c r="D876" i="2"/>
  <c r="B877" i="2"/>
  <c r="G659" i="2"/>
  <c r="F659" i="2"/>
  <c r="G660" i="2"/>
  <c r="F660" i="2"/>
  <c r="C877" i="2"/>
  <c r="B878" i="2"/>
  <c r="F877" i="2"/>
  <c r="D877" i="2"/>
  <c r="D662" i="2"/>
  <c r="E661" i="2"/>
  <c r="F661" i="2"/>
  <c r="G661" i="2"/>
  <c r="E662" i="2"/>
  <c r="D663" i="2"/>
  <c r="F878" i="2"/>
  <c r="C878" i="2"/>
  <c r="D878" i="2"/>
  <c r="B879" i="2"/>
  <c r="F879" i="2"/>
  <c r="C879" i="2"/>
  <c r="B880" i="2"/>
  <c r="D879" i="2"/>
  <c r="E663" i="2"/>
  <c r="D664" i="2"/>
  <c r="G662" i="2"/>
  <c r="F662" i="2"/>
  <c r="G663" i="2"/>
  <c r="F663" i="2"/>
  <c r="E664" i="2"/>
  <c r="D665" i="2"/>
  <c r="F880" i="2"/>
  <c r="C880" i="2"/>
  <c r="D880" i="2"/>
  <c r="B881" i="2"/>
  <c r="C881" i="2"/>
  <c r="B882" i="2"/>
  <c r="F881" i="2"/>
  <c r="D881" i="2"/>
  <c r="E665" i="2"/>
  <c r="D666" i="2"/>
  <c r="G664" i="2"/>
  <c r="F664" i="2"/>
  <c r="G665" i="2"/>
  <c r="F665" i="2"/>
  <c r="F882" i="2"/>
  <c r="C882" i="2"/>
  <c r="D882" i="2"/>
  <c r="B883" i="2"/>
  <c r="E666" i="2"/>
  <c r="D667" i="2"/>
  <c r="D668" i="2"/>
  <c r="E667" i="2"/>
  <c r="G666" i="2"/>
  <c r="F666" i="2"/>
  <c r="F883" i="2"/>
  <c r="C883" i="2"/>
  <c r="B884" i="2"/>
  <c r="D883" i="2"/>
  <c r="F884" i="2"/>
  <c r="C884" i="2"/>
  <c r="D884" i="2"/>
  <c r="B885" i="2"/>
  <c r="G667" i="2"/>
  <c r="F667" i="2"/>
  <c r="E668" i="2"/>
  <c r="D669" i="2"/>
  <c r="D670" i="2"/>
  <c r="E669" i="2"/>
  <c r="C885" i="2"/>
  <c r="B886" i="2"/>
  <c r="F885" i="2"/>
  <c r="D885" i="2"/>
  <c r="G668" i="2"/>
  <c r="F668" i="2"/>
  <c r="E670" i="2"/>
  <c r="D671" i="2"/>
  <c r="F886" i="2"/>
  <c r="C886" i="2"/>
  <c r="D886" i="2"/>
  <c r="B887" i="2"/>
  <c r="F669" i="2"/>
  <c r="G669" i="2"/>
  <c r="G670" i="2"/>
  <c r="F670" i="2"/>
  <c r="F887" i="2"/>
  <c r="C887" i="2"/>
  <c r="B888" i="2"/>
  <c r="D887" i="2"/>
  <c r="E671" i="2"/>
  <c r="D672" i="2"/>
  <c r="E672" i="2"/>
  <c r="D673" i="2"/>
  <c r="F888" i="2"/>
  <c r="C888" i="2"/>
  <c r="D888" i="2"/>
  <c r="B889" i="2"/>
  <c r="G671" i="2"/>
  <c r="F671" i="2"/>
  <c r="G672" i="2"/>
  <c r="F672" i="2"/>
  <c r="C889" i="2"/>
  <c r="B890" i="2"/>
  <c r="F889" i="2"/>
  <c r="D889" i="2"/>
  <c r="E673" i="2"/>
  <c r="D674" i="2"/>
  <c r="E674" i="2"/>
  <c r="D675" i="2"/>
  <c r="G673" i="2"/>
  <c r="F673" i="2"/>
  <c r="F890" i="2"/>
  <c r="C890" i="2"/>
  <c r="D890" i="2"/>
  <c r="G674" i="2"/>
  <c r="F674" i="2"/>
  <c r="E675" i="2"/>
  <c r="D676" i="2"/>
  <c r="D677" i="2"/>
  <c r="H553" i="2"/>
  <c r="A553" i="2"/>
  <c r="H564" i="2"/>
  <c r="A564" i="2"/>
  <c r="H566" i="2"/>
  <c r="A566" i="2"/>
  <c r="H568" i="2"/>
  <c r="A568" i="2"/>
  <c r="H570" i="2"/>
  <c r="A570" i="2"/>
  <c r="H572" i="2"/>
  <c r="A572" i="2"/>
  <c r="H574" i="2"/>
  <c r="A574" i="2"/>
  <c r="H576" i="2"/>
  <c r="A576" i="2"/>
  <c r="H578" i="2"/>
  <c r="A578" i="2"/>
  <c r="H580" i="2"/>
  <c r="A580" i="2"/>
  <c r="H582" i="2"/>
  <c r="A582" i="2"/>
  <c r="H584" i="2"/>
  <c r="A584" i="2"/>
  <c r="H586" i="2"/>
  <c r="A586" i="2"/>
  <c r="H588" i="2"/>
  <c r="J588" i="2"/>
  <c r="A588" i="2"/>
  <c r="H590" i="2"/>
  <c r="J590" i="2"/>
  <c r="A590" i="2"/>
  <c r="H592" i="2"/>
  <c r="J592" i="2"/>
  <c r="A592" i="2"/>
  <c r="H594" i="2"/>
  <c r="J594" i="2"/>
  <c r="A594" i="2"/>
  <c r="H596" i="2"/>
  <c r="J596" i="2"/>
  <c r="A596" i="2"/>
  <c r="H598" i="2"/>
  <c r="J598" i="2"/>
  <c r="A598" i="2"/>
  <c r="H600" i="2"/>
  <c r="J600" i="2"/>
  <c r="A600" i="2"/>
  <c r="H602" i="2"/>
  <c r="J602" i="2"/>
  <c r="A602" i="2"/>
  <c r="H604" i="2"/>
  <c r="J604" i="2"/>
  <c r="A604" i="2"/>
  <c r="H606" i="2"/>
  <c r="J606" i="2"/>
  <c r="A606" i="2"/>
  <c r="H608" i="2"/>
  <c r="J608" i="2"/>
  <c r="A608" i="2"/>
  <c r="H610" i="2"/>
  <c r="J610" i="2"/>
  <c r="A610" i="2"/>
  <c r="H612" i="2"/>
  <c r="J612" i="2"/>
  <c r="A612" i="2"/>
  <c r="H614" i="2"/>
  <c r="J614" i="2"/>
  <c r="A614" i="2"/>
  <c r="H616" i="2"/>
  <c r="J616" i="2"/>
  <c r="A616" i="2"/>
  <c r="H618" i="2"/>
  <c r="J618" i="2"/>
  <c r="A618" i="2"/>
  <c r="H620" i="2"/>
  <c r="J620" i="2"/>
  <c r="A620" i="2"/>
  <c r="H622" i="2"/>
  <c r="J622" i="2"/>
  <c r="A622" i="2"/>
  <c r="H624" i="2"/>
  <c r="J624" i="2"/>
  <c r="A624" i="2"/>
  <c r="H626" i="2"/>
  <c r="J626" i="2"/>
  <c r="A626" i="2"/>
  <c r="H628" i="2"/>
  <c r="J628" i="2"/>
  <c r="A628" i="2"/>
  <c r="H630" i="2"/>
  <c r="J630" i="2"/>
  <c r="A630" i="2"/>
  <c r="H632" i="2"/>
  <c r="J632" i="2"/>
  <c r="A632" i="2"/>
  <c r="H634" i="2"/>
  <c r="J634" i="2"/>
  <c r="A634" i="2"/>
  <c r="H636" i="2"/>
  <c r="J636" i="2"/>
  <c r="A636" i="2"/>
  <c r="H638" i="2"/>
  <c r="J638" i="2"/>
  <c r="A638" i="2"/>
  <c r="H640" i="2"/>
  <c r="J640" i="2"/>
  <c r="A640" i="2"/>
  <c r="H642" i="2"/>
  <c r="J642" i="2"/>
  <c r="A642" i="2"/>
  <c r="H644" i="2"/>
  <c r="J644" i="2"/>
  <c r="A644" i="2"/>
  <c r="H645" i="2"/>
  <c r="J645" i="2"/>
  <c r="A645" i="2"/>
  <c r="H646" i="2"/>
  <c r="J646" i="2"/>
  <c r="A646" i="2"/>
  <c r="H647" i="2"/>
  <c r="J647" i="2"/>
  <c r="A647" i="2"/>
  <c r="H648" i="2"/>
  <c r="J648" i="2"/>
  <c r="A648" i="2"/>
  <c r="H649" i="2"/>
  <c r="J649" i="2"/>
  <c r="A649" i="2"/>
  <c r="H650" i="2"/>
  <c r="J650" i="2"/>
  <c r="A650" i="2"/>
  <c r="H651" i="2"/>
  <c r="J651" i="2"/>
  <c r="A651" i="2"/>
  <c r="H652" i="2"/>
  <c r="J652" i="2"/>
  <c r="A652" i="2"/>
  <c r="H653" i="2"/>
  <c r="J653" i="2"/>
  <c r="A653" i="2"/>
  <c r="H654" i="2"/>
  <c r="J654" i="2"/>
  <c r="A654" i="2"/>
  <c r="H655" i="2"/>
  <c r="J655" i="2"/>
  <c r="A655" i="2"/>
  <c r="H656" i="2"/>
  <c r="J656" i="2"/>
  <c r="A656" i="2"/>
  <c r="H657" i="2"/>
  <c r="J657" i="2"/>
  <c r="A657" i="2"/>
  <c r="H658" i="2"/>
  <c r="J658" i="2"/>
  <c r="A658" i="2"/>
  <c r="H659" i="2"/>
  <c r="J659" i="2"/>
  <c r="A659" i="2"/>
  <c r="H660" i="2"/>
  <c r="J660" i="2"/>
  <c r="A660" i="2"/>
  <c r="H661" i="2"/>
  <c r="J661" i="2"/>
  <c r="A661" i="2"/>
  <c r="H662" i="2"/>
  <c r="J662" i="2"/>
  <c r="A662" i="2"/>
  <c r="H663" i="2"/>
  <c r="J663" i="2"/>
  <c r="A663" i="2"/>
  <c r="H664" i="2"/>
  <c r="J664" i="2"/>
  <c r="A664" i="2"/>
  <c r="H665" i="2"/>
  <c r="J665" i="2"/>
  <c r="A665" i="2"/>
  <c r="H666" i="2"/>
  <c r="J666" i="2"/>
  <c r="A666" i="2"/>
  <c r="H667" i="2"/>
  <c r="J667" i="2"/>
  <c r="A667" i="2"/>
  <c r="H668" i="2"/>
  <c r="J668" i="2"/>
  <c r="A668" i="2"/>
  <c r="H669" i="2"/>
  <c r="J669" i="2"/>
  <c r="A669" i="2"/>
  <c r="H670" i="2"/>
  <c r="J670" i="2"/>
  <c r="A670" i="2"/>
  <c r="H671" i="2"/>
  <c r="J671" i="2"/>
  <c r="A671" i="2"/>
  <c r="H672" i="2"/>
  <c r="J672" i="2"/>
  <c r="A672" i="2"/>
  <c r="H673" i="2"/>
  <c r="J673" i="2"/>
  <c r="A673" i="2"/>
  <c r="H674" i="2"/>
  <c r="J674" i="2"/>
  <c r="A674" i="2"/>
  <c r="H675" i="2"/>
  <c r="J675" i="2"/>
  <c r="A675" i="2"/>
  <c r="G675" i="2"/>
  <c r="F675" i="2"/>
  <c r="E676" i="2"/>
  <c r="H560" i="2"/>
  <c r="A560" i="2"/>
  <c r="H556" i="2"/>
  <c r="A556" i="2"/>
  <c r="H643" i="2"/>
  <c r="J643" i="2"/>
  <c r="A643" i="2"/>
  <c r="H641" i="2"/>
  <c r="J641" i="2"/>
  <c r="A641" i="2"/>
  <c r="H639" i="2"/>
  <c r="J639" i="2"/>
  <c r="A639" i="2"/>
  <c r="H637" i="2"/>
  <c r="J637" i="2"/>
  <c r="A637" i="2"/>
  <c r="H635" i="2"/>
  <c r="J635" i="2"/>
  <c r="A635" i="2"/>
  <c r="H633" i="2"/>
  <c r="J633" i="2"/>
  <c r="A633" i="2"/>
  <c r="H631" i="2"/>
  <c r="J631" i="2"/>
  <c r="A631" i="2"/>
  <c r="H629" i="2"/>
  <c r="J629" i="2"/>
  <c r="A629" i="2"/>
  <c r="H627" i="2"/>
  <c r="J627" i="2"/>
  <c r="A627" i="2"/>
  <c r="H625" i="2"/>
  <c r="J625" i="2"/>
  <c r="A625" i="2"/>
  <c r="H623" i="2"/>
  <c r="J623" i="2"/>
  <c r="A623" i="2"/>
  <c r="H621" i="2"/>
  <c r="J621" i="2"/>
  <c r="A621" i="2"/>
  <c r="H619" i="2"/>
  <c r="J619" i="2"/>
  <c r="A619" i="2"/>
  <c r="H617" i="2"/>
  <c r="J617" i="2"/>
  <c r="A617" i="2"/>
  <c r="H615" i="2"/>
  <c r="J615" i="2"/>
  <c r="A615" i="2"/>
  <c r="H613" i="2"/>
  <c r="J613" i="2"/>
  <c r="A613" i="2"/>
  <c r="H611" i="2"/>
  <c r="J611" i="2"/>
  <c r="A611" i="2"/>
  <c r="H609" i="2"/>
  <c r="J609" i="2"/>
  <c r="A609" i="2"/>
  <c r="H607" i="2"/>
  <c r="J607" i="2"/>
  <c r="A607" i="2"/>
  <c r="H605" i="2"/>
  <c r="J605" i="2"/>
  <c r="A605" i="2"/>
  <c r="H603" i="2"/>
  <c r="J603" i="2"/>
  <c r="A603" i="2"/>
  <c r="H601" i="2"/>
  <c r="J601" i="2"/>
  <c r="A601" i="2"/>
  <c r="H599" i="2"/>
  <c r="J599" i="2"/>
  <c r="A599" i="2"/>
  <c r="H597" i="2"/>
  <c r="J597" i="2"/>
  <c r="A597" i="2"/>
  <c r="H595" i="2"/>
  <c r="J595" i="2"/>
  <c r="A595" i="2"/>
  <c r="H593" i="2"/>
  <c r="J593" i="2"/>
  <c r="A593" i="2"/>
  <c r="H591" i="2"/>
  <c r="J591" i="2"/>
  <c r="A591" i="2"/>
  <c r="H589" i="2"/>
  <c r="J589" i="2"/>
  <c r="A589" i="2"/>
  <c r="H587" i="2"/>
  <c r="J587" i="2"/>
  <c r="A587" i="2"/>
  <c r="H585" i="2"/>
  <c r="A585" i="2"/>
  <c r="H583" i="2"/>
  <c r="A583" i="2"/>
  <c r="H581" i="2"/>
  <c r="A581" i="2"/>
  <c r="H579" i="2"/>
  <c r="A579" i="2"/>
  <c r="H577" i="2"/>
  <c r="A577" i="2"/>
  <c r="H575" i="2"/>
  <c r="A575" i="2"/>
  <c r="H573" i="2"/>
  <c r="A573" i="2"/>
  <c r="H571" i="2"/>
  <c r="A571" i="2"/>
  <c r="H569" i="2"/>
  <c r="A569" i="2"/>
  <c r="H567" i="2"/>
  <c r="A567" i="2"/>
  <c r="H565" i="2"/>
  <c r="A565" i="2"/>
  <c r="H563" i="2"/>
  <c r="A563" i="2"/>
  <c r="H562" i="2"/>
  <c r="A562" i="2"/>
  <c r="H558" i="2"/>
  <c r="A558" i="2"/>
  <c r="H554" i="2"/>
  <c r="A554" i="2"/>
  <c r="F676" i="2"/>
  <c r="G676" i="2"/>
  <c r="I553" i="2"/>
  <c r="B553" i="2"/>
  <c r="I554" i="2"/>
  <c r="B554" i="2"/>
  <c r="I555" i="2"/>
  <c r="B555" i="2"/>
  <c r="I556" i="2"/>
  <c r="B556" i="2"/>
  <c r="I557" i="2"/>
  <c r="B557" i="2"/>
  <c r="I558" i="2"/>
  <c r="B558" i="2"/>
  <c r="I559" i="2"/>
  <c r="B559" i="2"/>
  <c r="I560" i="2"/>
  <c r="B560" i="2"/>
  <c r="I561" i="2"/>
  <c r="B561" i="2"/>
  <c r="I562" i="2"/>
  <c r="B562" i="2"/>
  <c r="I563" i="2"/>
  <c r="B563" i="2"/>
  <c r="I564" i="2"/>
  <c r="B564" i="2"/>
  <c r="I565" i="2"/>
  <c r="B565" i="2"/>
  <c r="I566" i="2"/>
  <c r="B566" i="2"/>
  <c r="I567" i="2"/>
  <c r="B567" i="2"/>
  <c r="I568" i="2"/>
  <c r="B568" i="2"/>
  <c r="I569" i="2"/>
  <c r="B569" i="2"/>
  <c r="I570" i="2"/>
  <c r="B570" i="2"/>
  <c r="I571" i="2"/>
  <c r="B571" i="2"/>
  <c r="I572" i="2"/>
  <c r="B572" i="2"/>
  <c r="I573" i="2"/>
  <c r="B573" i="2"/>
  <c r="I574" i="2"/>
  <c r="B574" i="2"/>
  <c r="I575" i="2"/>
  <c r="B575" i="2"/>
  <c r="I576" i="2"/>
  <c r="B576" i="2"/>
  <c r="I577" i="2"/>
  <c r="B577" i="2"/>
  <c r="I578" i="2"/>
  <c r="B578" i="2"/>
  <c r="I579" i="2"/>
  <c r="B579" i="2"/>
  <c r="I580" i="2"/>
  <c r="B580" i="2"/>
  <c r="I581" i="2"/>
  <c r="B581" i="2"/>
  <c r="I582" i="2"/>
  <c r="B582" i="2"/>
  <c r="I583" i="2"/>
  <c r="B583" i="2"/>
  <c r="I584" i="2"/>
  <c r="B584" i="2"/>
  <c r="I585" i="2"/>
  <c r="B585" i="2"/>
  <c r="I586" i="2"/>
  <c r="B586" i="2"/>
  <c r="I587" i="2"/>
  <c r="B587" i="2"/>
  <c r="I588" i="2"/>
  <c r="B588" i="2"/>
  <c r="I589" i="2"/>
  <c r="B589" i="2"/>
  <c r="I590" i="2"/>
  <c r="B590" i="2"/>
  <c r="I591" i="2"/>
  <c r="B591" i="2"/>
  <c r="I592" i="2"/>
  <c r="B592" i="2"/>
  <c r="I593" i="2"/>
  <c r="B593" i="2"/>
  <c r="I594" i="2"/>
  <c r="B594" i="2"/>
  <c r="I595" i="2"/>
  <c r="B595" i="2"/>
  <c r="I596" i="2"/>
  <c r="B596" i="2"/>
  <c r="I597" i="2"/>
  <c r="B597" i="2"/>
  <c r="I598" i="2"/>
  <c r="B598" i="2"/>
  <c r="I599" i="2"/>
  <c r="B599" i="2"/>
  <c r="I600" i="2"/>
  <c r="B600" i="2"/>
  <c r="I601" i="2"/>
  <c r="B601" i="2"/>
  <c r="I602" i="2"/>
  <c r="B602" i="2"/>
  <c r="I603" i="2"/>
  <c r="B603" i="2"/>
  <c r="I604" i="2"/>
  <c r="B604" i="2"/>
  <c r="I605" i="2"/>
  <c r="B605" i="2"/>
  <c r="I606" i="2"/>
  <c r="B606" i="2"/>
  <c r="I607" i="2"/>
  <c r="B607" i="2"/>
  <c r="I608" i="2"/>
  <c r="B608" i="2"/>
  <c r="I609" i="2"/>
  <c r="B609" i="2"/>
  <c r="I610" i="2"/>
  <c r="B610" i="2"/>
  <c r="I611" i="2"/>
  <c r="B611" i="2"/>
  <c r="I612" i="2"/>
  <c r="B612" i="2"/>
  <c r="I613" i="2"/>
  <c r="B613" i="2"/>
  <c r="I614" i="2"/>
  <c r="B614" i="2"/>
  <c r="I615" i="2"/>
  <c r="B615" i="2"/>
  <c r="I616" i="2"/>
  <c r="B616" i="2"/>
  <c r="I617" i="2"/>
  <c r="B617" i="2"/>
  <c r="I618" i="2"/>
  <c r="B618" i="2"/>
  <c r="I619" i="2"/>
  <c r="B619" i="2"/>
  <c r="I620" i="2"/>
  <c r="B620" i="2"/>
  <c r="I621" i="2"/>
  <c r="B621" i="2"/>
  <c r="I622" i="2"/>
  <c r="B622" i="2"/>
  <c r="I623" i="2"/>
  <c r="B623" i="2"/>
  <c r="I624" i="2"/>
  <c r="B624" i="2"/>
  <c r="I625" i="2"/>
  <c r="B625" i="2"/>
  <c r="I626" i="2"/>
  <c r="B626" i="2"/>
  <c r="I627" i="2"/>
  <c r="B627" i="2"/>
  <c r="I628" i="2"/>
  <c r="B628" i="2"/>
  <c r="I629" i="2"/>
  <c r="B629" i="2"/>
  <c r="I630" i="2"/>
  <c r="B630" i="2"/>
  <c r="I631" i="2"/>
  <c r="B631" i="2"/>
  <c r="I632" i="2"/>
  <c r="B632" i="2"/>
  <c r="I633" i="2"/>
  <c r="B633" i="2"/>
  <c r="I634" i="2"/>
  <c r="B634" i="2"/>
  <c r="I635" i="2"/>
  <c r="B635" i="2"/>
  <c r="I636" i="2"/>
  <c r="B636" i="2"/>
  <c r="I637" i="2"/>
  <c r="B637" i="2"/>
  <c r="I638" i="2"/>
  <c r="B638" i="2"/>
  <c r="I639" i="2"/>
  <c r="B639" i="2"/>
  <c r="I640" i="2"/>
  <c r="B640" i="2"/>
  <c r="I641" i="2"/>
  <c r="B641" i="2"/>
  <c r="I642" i="2"/>
  <c r="B642" i="2"/>
  <c r="I643" i="2"/>
  <c r="B643" i="2"/>
  <c r="I644" i="2"/>
  <c r="B644" i="2"/>
  <c r="I645" i="2"/>
  <c r="B645" i="2"/>
  <c r="I646" i="2"/>
  <c r="B646" i="2"/>
  <c r="I647" i="2"/>
  <c r="B647" i="2"/>
  <c r="I648" i="2"/>
  <c r="B648" i="2"/>
  <c r="I649" i="2"/>
  <c r="B649" i="2"/>
  <c r="I650" i="2"/>
  <c r="B650" i="2"/>
  <c r="I651" i="2"/>
  <c r="B651" i="2"/>
  <c r="I652" i="2"/>
  <c r="B652" i="2"/>
  <c r="I653" i="2"/>
  <c r="B653" i="2"/>
  <c r="I654" i="2"/>
  <c r="B654" i="2"/>
  <c r="I655" i="2"/>
  <c r="B655" i="2"/>
  <c r="I656" i="2"/>
  <c r="B656" i="2"/>
  <c r="I657" i="2"/>
  <c r="B657" i="2"/>
  <c r="I658" i="2"/>
  <c r="B658" i="2"/>
  <c r="I659" i="2"/>
  <c r="B659" i="2"/>
  <c r="I660" i="2"/>
  <c r="B660" i="2"/>
  <c r="I661" i="2"/>
  <c r="B661" i="2"/>
  <c r="I662" i="2"/>
  <c r="B662" i="2"/>
  <c r="I663" i="2"/>
  <c r="B663" i="2"/>
  <c r="I664" i="2"/>
  <c r="B664" i="2"/>
  <c r="I665" i="2"/>
  <c r="B665" i="2"/>
  <c r="I666" i="2"/>
  <c r="B666" i="2"/>
  <c r="I667" i="2"/>
  <c r="B667" i="2"/>
  <c r="I668" i="2"/>
  <c r="B668" i="2"/>
  <c r="I669" i="2"/>
  <c r="B669" i="2"/>
  <c r="I670" i="2"/>
  <c r="B670" i="2"/>
  <c r="I671" i="2"/>
  <c r="B671" i="2"/>
  <c r="I672" i="2"/>
  <c r="B672" i="2"/>
  <c r="I673" i="2"/>
  <c r="B673" i="2"/>
  <c r="I674" i="2"/>
  <c r="B674" i="2"/>
  <c r="I675" i="2"/>
  <c r="B675" i="2"/>
  <c r="H561" i="2"/>
  <c r="A561" i="2"/>
  <c r="H559" i="2"/>
  <c r="A559" i="2"/>
  <c r="H557" i="2"/>
  <c r="A557" i="2"/>
  <c r="H555" i="2"/>
  <c r="A555" i="2"/>
  <c r="G32" i="8" l="1"/>
  <c r="AE31" i="8"/>
  <c r="M31" i="8"/>
  <c r="F39" i="8" s="1"/>
  <c r="F23" i="8"/>
  <c r="X39" i="8" l="1"/>
  <c r="AE39" i="8"/>
  <c r="AF29" i="8"/>
  <c r="AF30" i="8"/>
  <c r="L29" i="8"/>
  <c r="J29" i="8"/>
  <c r="K29" i="8"/>
  <c r="G51" i="8"/>
  <c r="AD30" i="8"/>
  <c r="L30" i="8"/>
  <c r="AC29" i="8"/>
  <c r="J28" i="8"/>
  <c r="AE28" i="8"/>
  <c r="AE29" i="8"/>
  <c r="AE30" i="8"/>
  <c r="M30" i="8"/>
  <c r="K28" i="8"/>
  <c r="J30" i="8"/>
  <c r="K30" i="8"/>
  <c r="L28" i="8"/>
  <c r="AC28" i="8"/>
  <c r="AC30" i="8"/>
  <c r="M29" i="8"/>
  <c r="AD29" i="8"/>
  <c r="AF28" i="8"/>
  <c r="AD28" i="8"/>
  <c r="AF31" i="8"/>
  <c r="J31" i="8"/>
  <c r="K31" i="8"/>
  <c r="G23" i="8"/>
  <c r="H23" i="8" s="1"/>
  <c r="F24" i="8"/>
  <c r="G24" i="8" s="1"/>
  <c r="M39" i="8"/>
  <c r="L31" i="8"/>
  <c r="AC31" i="8"/>
  <c r="AD31" i="8"/>
  <c r="M28" i="8"/>
  <c r="M36" i="8" l="1"/>
  <c r="F36" i="8"/>
  <c r="M32" i="8"/>
  <c r="V39" i="8"/>
  <c r="AC39" i="8"/>
  <c r="AG31" i="8"/>
  <c r="L36" i="8"/>
  <c r="E36" i="8"/>
  <c r="L32" i="8"/>
  <c r="J39" i="8"/>
  <c r="N31" i="8"/>
  <c r="C39" i="8"/>
  <c r="AD36" i="8"/>
  <c r="AD32" i="8"/>
  <c r="W36" i="8"/>
  <c r="AD37" i="8"/>
  <c r="W37" i="8"/>
  <c r="AC38" i="8"/>
  <c r="V38" i="8"/>
  <c r="AG30" i="8"/>
  <c r="N30" i="8"/>
  <c r="C38" i="8"/>
  <c r="J38" i="8"/>
  <c r="F38" i="8"/>
  <c r="M38" i="8"/>
  <c r="AE37" i="8"/>
  <c r="X37" i="8"/>
  <c r="J32" i="8"/>
  <c r="C36" i="8"/>
  <c r="J36" i="8"/>
  <c r="N28" i="8"/>
  <c r="L38" i="8"/>
  <c r="E38" i="8"/>
  <c r="N29" i="8"/>
  <c r="C37" i="8"/>
  <c r="J37" i="8"/>
  <c r="AF38" i="8"/>
  <c r="Y38" i="8"/>
  <c r="AD39" i="8"/>
  <c r="W39" i="8"/>
  <c r="E39" i="8"/>
  <c r="L39" i="8"/>
  <c r="K39" i="8"/>
  <c r="D39" i="8"/>
  <c r="Y39" i="8"/>
  <c r="AF39" i="8"/>
  <c r="AF32" i="8"/>
  <c r="Y36" i="8"/>
  <c r="AF36" i="8"/>
  <c r="M37" i="8"/>
  <c r="F37" i="8"/>
  <c r="V36" i="8"/>
  <c r="AC32" i="8"/>
  <c r="AC36" i="8"/>
  <c r="AG28" i="8"/>
  <c r="D38" i="8"/>
  <c r="K38" i="8"/>
  <c r="D36" i="8"/>
  <c r="K36" i="8"/>
  <c r="K32" i="8"/>
  <c r="X38" i="8"/>
  <c r="AE38" i="8"/>
  <c r="AE36" i="8"/>
  <c r="AE32" i="8"/>
  <c r="X36" i="8"/>
  <c r="AC37" i="8"/>
  <c r="V37" i="8"/>
  <c r="AG29" i="8"/>
  <c r="W38" i="8"/>
  <c r="AD38" i="8"/>
  <c r="K37" i="8"/>
  <c r="D37" i="8"/>
  <c r="L37" i="8"/>
  <c r="E37" i="8"/>
  <c r="AF37" i="8"/>
  <c r="Y37" i="8"/>
  <c r="Z36" i="8" l="1"/>
  <c r="G38" i="8"/>
  <c r="G39" i="8"/>
  <c r="AG32" i="8"/>
  <c r="Z39" i="8"/>
  <c r="Z37" i="8"/>
  <c r="G37" i="8"/>
  <c r="N32" i="8"/>
  <c r="G36" i="8"/>
  <c r="Z38" i="8"/>
  <c r="G40" i="8" l="1"/>
  <c r="Z40" i="8"/>
</calcChain>
</file>

<file path=xl/sharedStrings.xml><?xml version="1.0" encoding="utf-8"?>
<sst xmlns="http://schemas.openxmlformats.org/spreadsheetml/2006/main" count="1053" uniqueCount="373">
  <si>
    <t>Total</t>
  </si>
  <si>
    <t>Frequency</t>
  </si>
  <si>
    <t>Table</t>
  </si>
  <si>
    <t>Sum</t>
  </si>
  <si>
    <t>x</t>
  </si>
  <si>
    <t>Probability</t>
  </si>
  <si>
    <t>Formulae</t>
  </si>
  <si>
    <t>Dice Sum</t>
  </si>
  <si>
    <t>0/36</t>
  </si>
  <si>
    <t>1/36</t>
  </si>
  <si>
    <t>2/36</t>
  </si>
  <si>
    <t>3/36</t>
  </si>
  <si>
    <t>4/36</t>
  </si>
  <si>
    <t>5/36</t>
  </si>
  <si>
    <t>6/36</t>
  </si>
  <si>
    <t>Bellow</t>
  </si>
  <si>
    <t>prob</t>
  </si>
  <si>
    <t>Succeses</t>
  </si>
  <si>
    <t>Trials</t>
  </si>
  <si>
    <t>BINOMIAL</t>
  </si>
  <si>
    <t>Step</t>
  </si>
  <si>
    <t>NORMAL DISTRIBUTION</t>
  </si>
  <si>
    <t>z</t>
  </si>
  <si>
    <t>Critical value</t>
  </si>
  <si>
    <t>1-</t>
  </si>
  <si>
    <t>CUMULATIVE</t>
  </si>
  <si>
    <t>formula</t>
  </si>
  <si>
    <t>chi-square</t>
  </si>
  <si>
    <t>step</t>
  </si>
  <si>
    <t>K</t>
  </si>
  <si>
    <t>k</t>
  </si>
  <si>
    <t>t-distr</t>
  </si>
  <si>
    <t>df</t>
  </si>
  <si>
    <t>df1</t>
  </si>
  <si>
    <t>df2</t>
  </si>
  <si>
    <t>p</t>
  </si>
  <si>
    <t>n</t>
  </si>
  <si>
    <t>Successes</t>
  </si>
  <si>
    <t>Probability of successs</t>
  </si>
  <si>
    <t xml:space="preserve">Figure 3.23 </t>
  </si>
  <si>
    <t>Formula 3.7</t>
  </si>
  <si>
    <t>Country</t>
  </si>
  <si>
    <r>
      <t>Area (km</t>
    </r>
    <r>
      <rPr>
        <vertAlign val="superscript"/>
        <sz val="9"/>
        <color indexed="8"/>
        <rFont val="Calibri"/>
        <family val="2"/>
      </rPr>
      <t>2</t>
    </r>
    <r>
      <rPr>
        <sz val="9"/>
        <color indexed="8"/>
        <rFont val="Calibri"/>
        <family val="2"/>
      </rPr>
      <t>)</t>
    </r>
  </si>
  <si>
    <t>Storks (pairs)</t>
  </si>
  <si>
    <r>
      <t>Birth rate (10</t>
    </r>
    <r>
      <rPr>
        <vertAlign val="superscript"/>
        <sz val="9"/>
        <color indexed="8"/>
        <rFont val="Calibri"/>
        <family val="2"/>
      </rPr>
      <t>3</t>
    </r>
    <r>
      <rPr>
        <sz val="9"/>
        <color indexed="8"/>
        <rFont val="Calibri"/>
        <family val="2"/>
      </rPr>
      <t>/yr)</t>
    </r>
  </si>
  <si>
    <t>Albania</t>
  </si>
  <si>
    <t>Austria</t>
  </si>
  <si>
    <t>Belgium</t>
  </si>
  <si>
    <t>Bulgaria</t>
  </si>
  <si>
    <t>Denmark</t>
  </si>
  <si>
    <t>France</t>
  </si>
  <si>
    <t>Germany</t>
  </si>
  <si>
    <t>Greece</t>
  </si>
  <si>
    <t>Holland</t>
  </si>
  <si>
    <t>Hungary</t>
  </si>
  <si>
    <t>Italy</t>
  </si>
  <si>
    <t>Poland</t>
  </si>
  <si>
    <t>Portugal</t>
  </si>
  <si>
    <t>Romania</t>
  </si>
  <si>
    <t>Spain</t>
  </si>
  <si>
    <t>Switzerland</t>
  </si>
  <si>
    <t>Turkey</t>
  </si>
  <si>
    <t>Humans (millions)</t>
  </si>
  <si>
    <t>Original</t>
  </si>
  <si>
    <t>Mean</t>
  </si>
  <si>
    <t>SD</t>
  </si>
  <si>
    <t>r</t>
  </si>
  <si>
    <t>a1</t>
  </si>
  <si>
    <t>Residuals</t>
  </si>
  <si>
    <t>Predicted Humans (millions)</t>
  </si>
  <si>
    <t>Rank test</t>
  </si>
  <si>
    <t>X1</t>
  </si>
  <si>
    <t>X2</t>
  </si>
  <si>
    <t>SUM</t>
  </si>
  <si>
    <t>X-ordered</t>
  </si>
  <si>
    <t>Order</t>
  </si>
  <si>
    <t>Table 1</t>
  </si>
  <si>
    <t>Table 2</t>
  </si>
  <si>
    <t>X1 orders</t>
  </si>
  <si>
    <t>X2 orders</t>
  </si>
  <si>
    <t>Rank signed test</t>
  </si>
  <si>
    <t>X1-X2</t>
  </si>
  <si>
    <t>ABS(X1-X2)</t>
  </si>
  <si>
    <t>Rank/Order</t>
  </si>
  <si>
    <t>SUM+</t>
  </si>
  <si>
    <t>SUM-</t>
  </si>
  <si>
    <t>Spearman's r</t>
  </si>
  <si>
    <t>SQR(X1-X2)</t>
  </si>
  <si>
    <t>X3</t>
  </si>
  <si>
    <t xml:space="preserve">Table  ANOVA Data set </t>
  </si>
  <si>
    <t>Mean of means</t>
  </si>
  <si>
    <t>Difference</t>
  </si>
  <si>
    <t>Sqr(Difference)</t>
  </si>
  <si>
    <t>SST = 3*SUM</t>
  </si>
  <si>
    <t>MST</t>
  </si>
  <si>
    <t>F</t>
  </si>
  <si>
    <t>Between Variable Variation</t>
  </si>
  <si>
    <t>Within Variables Varriation</t>
  </si>
  <si>
    <t>(X1-X1mean)</t>
  </si>
  <si>
    <t>(X2-X2Mean)</t>
  </si>
  <si>
    <t>(X3-X3mean)</t>
  </si>
  <si>
    <t>x1</t>
  </si>
  <si>
    <t>x2</t>
  </si>
  <si>
    <t>x3</t>
  </si>
  <si>
    <t>X</t>
  </si>
  <si>
    <t>s</t>
  </si>
  <si>
    <r>
      <t>X</t>
    </r>
    <r>
      <rPr>
        <vertAlign val="subscript"/>
        <sz val="8"/>
        <rFont val="Comic Sans MS"/>
        <family val="4"/>
        <charset val="161"/>
      </rPr>
      <t>ave</t>
    </r>
  </si>
  <si>
    <t>source</t>
  </si>
  <si>
    <t>SS</t>
  </si>
  <si>
    <t>MS</t>
  </si>
  <si>
    <t>P-value</t>
  </si>
  <si>
    <t>treatments</t>
  </si>
  <si>
    <t>error</t>
  </si>
  <si>
    <t>total</t>
  </si>
  <si>
    <t>p=0.06147</t>
  </si>
  <si>
    <t>Anova: Single Factor</t>
  </si>
  <si>
    <t>SUMMARY</t>
  </si>
  <si>
    <t>Groups</t>
  </si>
  <si>
    <t>Count</t>
  </si>
  <si>
    <t>Average</t>
  </si>
  <si>
    <t>Variance</t>
  </si>
  <si>
    <t>Column 1</t>
  </si>
  <si>
    <t>Column 2</t>
  </si>
  <si>
    <t>Column 3</t>
  </si>
  <si>
    <t>ANOVA</t>
  </si>
  <si>
    <t>Source of Variation</t>
  </si>
  <si>
    <t>Between Groups</t>
  </si>
  <si>
    <t>Within Groups</t>
  </si>
  <si>
    <t>Data Analysis</t>
  </si>
  <si>
    <t>k2</t>
  </si>
  <si>
    <t>k1</t>
  </si>
  <si>
    <t>p=0.95</t>
  </si>
  <si>
    <t xml:space="preserve">Rank test with 3 variables </t>
  </si>
  <si>
    <t>X3 orders</t>
  </si>
  <si>
    <t>Car Color</t>
  </si>
  <si>
    <t>White</t>
  </si>
  <si>
    <t>Silver</t>
  </si>
  <si>
    <t>Black</t>
  </si>
  <si>
    <t>Grey</t>
  </si>
  <si>
    <t>Blue</t>
  </si>
  <si>
    <t>Red</t>
  </si>
  <si>
    <t>Brown</t>
  </si>
  <si>
    <t>Green</t>
  </si>
  <si>
    <t>Other</t>
  </si>
  <si>
    <t>Krustal</t>
  </si>
  <si>
    <t>Observed Frequency</t>
  </si>
  <si>
    <t>Expected Frequency</t>
  </si>
  <si>
    <t>Residual (Obs-Exp)</t>
  </si>
  <si>
    <t xml:space="preserve">Residual </t>
  </si>
  <si>
    <t xml:space="preserve">Component </t>
  </si>
  <si>
    <t>Table 4.11 Nominla data for car color example</t>
  </si>
  <si>
    <t>North America</t>
  </si>
  <si>
    <t>Europe</t>
  </si>
  <si>
    <t>Asia-Pacific</t>
  </si>
  <si>
    <t>Rest of the World</t>
  </si>
  <si>
    <t>p=</t>
  </si>
  <si>
    <t>Table 1.1 Observed Frequencies</t>
  </si>
  <si>
    <t>Table 1.1 Expected Frequencies</t>
  </si>
  <si>
    <t>χ</t>
  </si>
  <si>
    <t>Table 1.1 (Observed - Expected)  / Expected</t>
  </si>
  <si>
    <t>Table 1.1 Components = (Observed - Expected)  / Expected</t>
  </si>
  <si>
    <t>Table ….</t>
  </si>
  <si>
    <t>Variables</t>
  </si>
  <si>
    <t>Attr.11</t>
  </si>
  <si>
    <t>Attr.21</t>
  </si>
  <si>
    <t>Attr.22</t>
  </si>
  <si>
    <t>n11</t>
  </si>
  <si>
    <t>n22</t>
  </si>
  <si>
    <t>n12</t>
  </si>
  <si>
    <t>n21</t>
  </si>
  <si>
    <t>n11+n22</t>
  </si>
  <si>
    <t>n12+n22</t>
  </si>
  <si>
    <t>n11+n12</t>
  </si>
  <si>
    <t>n21+n22</t>
  </si>
  <si>
    <t>Permutations</t>
  </si>
  <si>
    <t>I</t>
  </si>
  <si>
    <t>II</t>
  </si>
  <si>
    <t>III</t>
  </si>
  <si>
    <t>IV</t>
  </si>
  <si>
    <t>V</t>
  </si>
  <si>
    <t>VI</t>
  </si>
  <si>
    <t>VII</t>
  </si>
  <si>
    <t>Gender</t>
  </si>
  <si>
    <t>Male</t>
  </si>
  <si>
    <t>Female</t>
  </si>
  <si>
    <t>McNemer</t>
  </si>
  <si>
    <t>Yes</t>
  </si>
  <si>
    <t>No</t>
  </si>
  <si>
    <t>Product  Campain</t>
  </si>
  <si>
    <t>Product and Offer Campain</t>
  </si>
  <si>
    <t xml:space="preserve">Table 4. McNemer test data </t>
  </si>
  <si>
    <t>Fig 3.29</t>
  </si>
  <si>
    <t>Conchran</t>
  </si>
  <si>
    <t>Table 4.11 Nominal data for car color example</t>
  </si>
  <si>
    <t>Best of the World</t>
  </si>
  <si>
    <t>Obs/Exp</t>
  </si>
  <si>
    <t>ln(Obs/Exp)</t>
  </si>
  <si>
    <t>Obs*ln(Obs/Exp)</t>
  </si>
  <si>
    <t>G test</t>
  </si>
  <si>
    <t>Table 1.1 Observed*ln(Observed/Expected)</t>
  </si>
  <si>
    <t>G</t>
  </si>
  <si>
    <t>Table 4.21a Males Observed Frequencies</t>
  </si>
  <si>
    <t>Table 4.21.b Females Observed Frequencies</t>
  </si>
  <si>
    <t>Table 4.22 Marginal Table for Gender</t>
  </si>
  <si>
    <t>Table 4.22 Marginal Tqble for Color</t>
  </si>
  <si>
    <t>Table 4.21.c Partial Table for Color Black</t>
  </si>
  <si>
    <t>Table 4.21.d Partial Table for Color Other</t>
  </si>
  <si>
    <t>Var1</t>
  </si>
  <si>
    <t>Var2</t>
  </si>
  <si>
    <t>%</t>
  </si>
  <si>
    <t>Sarcoline</t>
  </si>
  <si>
    <t>Mikado</t>
  </si>
  <si>
    <t>Table 1.1 Observed Frequencies for Male</t>
  </si>
  <si>
    <t>Table 1.1 Observed Frequencies for Female</t>
  </si>
  <si>
    <t>Table 1.1 Observed Frequencies Male+Female</t>
  </si>
  <si>
    <t xml:space="preserve">Car-color </t>
  </si>
  <si>
    <t>Region</t>
  </si>
  <si>
    <t>Asia Pacific</t>
  </si>
  <si>
    <t>Table 4.25 Dummy Variable Representation</t>
  </si>
  <si>
    <t>Table 4.13 Contingency Table</t>
  </si>
  <si>
    <t>Tablle 4.8</t>
  </si>
  <si>
    <t>Sample</t>
  </si>
  <si>
    <t>Table …</t>
  </si>
  <si>
    <t>Car item</t>
  </si>
  <si>
    <t>trunk</t>
  </si>
  <si>
    <t>engine</t>
  </si>
  <si>
    <t>left front door</t>
  </si>
  <si>
    <t>left flash light</t>
  </si>
  <si>
    <t>left front light</t>
  </si>
  <si>
    <t>left back light</t>
  </si>
  <si>
    <t>left seat</t>
  </si>
  <si>
    <t>left mirror</t>
  </si>
  <si>
    <t>right mirror</t>
  </si>
  <si>
    <t xml:space="preserve">rirgh seat </t>
  </si>
  <si>
    <t>right front door</t>
  </si>
  <si>
    <t>right flash light</t>
  </si>
  <si>
    <t>right front light</t>
  </si>
  <si>
    <t>right back light</t>
  </si>
  <si>
    <t>left front wheel</t>
  </si>
  <si>
    <t>right front wheel</t>
  </si>
  <si>
    <t>left back wheel</t>
  </si>
  <si>
    <t>right back wheel</t>
  </si>
  <si>
    <t>Horsepower</t>
  </si>
  <si>
    <t>Millage</t>
  </si>
  <si>
    <t>Consumption</t>
  </si>
  <si>
    <t>Engine Condition</t>
  </si>
  <si>
    <t>Production Year</t>
  </si>
  <si>
    <t>Number of accidents</t>
  </si>
  <si>
    <t>Factors</t>
  </si>
  <si>
    <t>wheels</t>
  </si>
  <si>
    <t>doors</t>
  </si>
  <si>
    <t>lights</t>
  </si>
  <si>
    <t>mirrors</t>
  </si>
  <si>
    <t>seats</t>
  </si>
  <si>
    <t>flash lights</t>
  </si>
  <si>
    <t>Var3</t>
  </si>
  <si>
    <t>Var4</t>
  </si>
  <si>
    <t>Var5</t>
  </si>
  <si>
    <t>Var6</t>
  </si>
  <si>
    <t>Factor 1</t>
  </si>
  <si>
    <t>Factor 2</t>
  </si>
  <si>
    <t>FactorY</t>
  </si>
  <si>
    <t>FactorO</t>
  </si>
  <si>
    <t>Component</t>
  </si>
  <si>
    <t>Eigenvalue Total</t>
  </si>
  <si>
    <t>Eigenvalue % of Variance</t>
  </si>
  <si>
    <t>Eigenvalue Cumulative % of Variance</t>
  </si>
  <si>
    <t>Tables  Demographics</t>
  </si>
  <si>
    <t>Observation</t>
  </si>
  <si>
    <t>Education</t>
  </si>
  <si>
    <t>Below 25</t>
  </si>
  <si>
    <t>25-40</t>
  </si>
  <si>
    <t>Above 40</t>
  </si>
  <si>
    <t>Undergraduate</t>
  </si>
  <si>
    <t>Graduate</t>
  </si>
  <si>
    <t>Age Group</t>
  </si>
  <si>
    <t>Obs. 1</t>
  </si>
  <si>
    <t>Obs. 2</t>
  </si>
  <si>
    <t>Obs. 3</t>
  </si>
  <si>
    <t>Obs. 4</t>
  </si>
  <si>
    <t>Obs. 5</t>
  </si>
  <si>
    <t>Obs. 6</t>
  </si>
  <si>
    <t>Obs. 7</t>
  </si>
  <si>
    <t>Obs. 8</t>
  </si>
  <si>
    <t>Obs. 9</t>
  </si>
  <si>
    <t>Obs. 10</t>
  </si>
  <si>
    <t>Table Distances</t>
  </si>
  <si>
    <t>Serie</t>
  </si>
  <si>
    <t>Date</t>
  </si>
  <si>
    <t>Table w = 0.5</t>
  </si>
  <si>
    <t>Closed</t>
  </si>
  <si>
    <t>Large Rise</t>
  </si>
  <si>
    <t>Small Rise</t>
  </si>
  <si>
    <t>No Change</t>
  </si>
  <si>
    <t xml:space="preserve">Small Fall </t>
  </si>
  <si>
    <t>Large Fall</t>
  </si>
  <si>
    <t>Decision Alternatives</t>
  </si>
  <si>
    <t>States of Nature</t>
  </si>
  <si>
    <t>Investment1</t>
  </si>
  <si>
    <t>Investment2</t>
  </si>
  <si>
    <t>Investment3</t>
  </si>
  <si>
    <t>Investment4</t>
  </si>
  <si>
    <t>Investment5</t>
  </si>
  <si>
    <t>Market Direction</t>
  </si>
  <si>
    <t>Table 6.9  Payoff Table</t>
  </si>
  <si>
    <t>Table 6.10  Reduced Payoff Table</t>
  </si>
  <si>
    <t>Table 6.11.a  Payoff Table Pssimist's View</t>
  </si>
  <si>
    <t>Table 6.11.b  Payoff Table Optimist's View</t>
  </si>
  <si>
    <t>Table 6.10 Payoff Table Maximum Regret</t>
  </si>
  <si>
    <t>Table 6.11.c Payoff Table Neutral View</t>
  </si>
  <si>
    <t>Table 6.11.d Payoff Table Maximum Regret</t>
  </si>
  <si>
    <t>Table 6.12  Reduced Payoff Table</t>
  </si>
  <si>
    <t>Expert Succuss rate</t>
  </si>
  <si>
    <t>Joint Probabilities</t>
  </si>
  <si>
    <t>Posterior Probabilities</t>
  </si>
  <si>
    <t>Expert Failrue rate</t>
  </si>
  <si>
    <t>Expert Success</t>
  </si>
  <si>
    <t>Expert Failure</t>
  </si>
  <si>
    <t>EV</t>
  </si>
  <si>
    <t>EVPI+</t>
  </si>
  <si>
    <t>EVPI-</t>
  </si>
  <si>
    <t>Payoff</t>
  </si>
  <si>
    <t>Probabilities</t>
  </si>
  <si>
    <t>Confess</t>
  </si>
  <si>
    <t>Deny</t>
  </si>
  <si>
    <t>Suspect A</t>
  </si>
  <si>
    <t>Suspect B</t>
  </si>
  <si>
    <t>Bakery</t>
  </si>
  <si>
    <t>Fruit</t>
  </si>
  <si>
    <t>Dairy</t>
  </si>
  <si>
    <t>Meet</t>
  </si>
  <si>
    <t>Sumermarket A</t>
  </si>
  <si>
    <t>Supermarket B</t>
  </si>
  <si>
    <t>Runs</t>
  </si>
  <si>
    <t>Randomly generated outcomes</t>
  </si>
  <si>
    <t>Prsent</t>
  </si>
  <si>
    <t>Prooducts</t>
  </si>
  <si>
    <t>Products</t>
  </si>
  <si>
    <t>Table 6.  Simulation results</t>
  </si>
  <si>
    <t xml:space="preserve">  8  98  28</t>
  </si>
  <si>
    <t xml:space="preserve"> 13 134   0</t>
  </si>
  <si>
    <t xml:space="preserve">  6  84  51</t>
  </si>
  <si>
    <t xml:space="preserve">  7  90  33</t>
  </si>
  <si>
    <t xml:space="preserve">  8 107  18</t>
  </si>
  <si>
    <t xml:space="preserve">  9 113  26</t>
  </si>
  <si>
    <t xml:space="preserve"> 10 118  15</t>
  </si>
  <si>
    <t xml:space="preserve"> 11 141   4</t>
  </si>
  <si>
    <t xml:space="preserve"> 12 122   0</t>
  </si>
  <si>
    <t xml:space="preserve"> 14 129   0</t>
  </si>
  <si>
    <t xml:space="preserve"> 15 132   0</t>
  </si>
  <si>
    <t xml:space="preserve">  6  76  53</t>
  </si>
  <si>
    <t xml:space="preserve">  7  78  43</t>
  </si>
  <si>
    <t xml:space="preserve">  8 109  26</t>
  </si>
  <si>
    <t xml:space="preserve">  9 111  31</t>
  </si>
  <si>
    <t xml:space="preserve"> 10 120   7</t>
  </si>
  <si>
    <t xml:space="preserve"> 11 128   2</t>
  </si>
  <si>
    <t xml:space="preserve"> 12 139   0</t>
  </si>
  <si>
    <t xml:space="preserve"> 13 127   0</t>
  </si>
  <si>
    <t xml:space="preserve"> 14 146   0</t>
  </si>
  <si>
    <t xml:space="preserve"> 15 141   0</t>
  </si>
  <si>
    <t xml:space="preserve">  6  89  47</t>
  </si>
  <si>
    <t xml:space="preserve">  7  90  41</t>
  </si>
  <si>
    <t xml:space="preserve">  9 113  16</t>
  </si>
  <si>
    <t xml:space="preserve"> 10 119  10</t>
  </si>
  <si>
    <t xml:space="preserve"> 11 121   7</t>
  </si>
  <si>
    <t xml:space="preserve"> 12 131   0</t>
  </si>
  <si>
    <t xml:space="preserve"> 13 136   0</t>
  </si>
  <si>
    <t xml:space="preserve"> 14 137   0</t>
  </si>
  <si>
    <t xml:space="preserve"> 15 125   0</t>
  </si>
  <si>
    <t>Customers Served</t>
  </si>
  <si>
    <t>Customers Left</t>
  </si>
  <si>
    <t>Number of Tables</t>
  </si>
  <si>
    <t>Simulation Run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</si>
</sst>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0.000"/>
    <numFmt numFmtId="165" formatCode="0.0"/>
    <numFmt numFmtId="166" formatCode="0.0000"/>
    <numFmt numFmtId="167" formatCode="0.0000000000000000"/>
    <numFmt numFmtId="168" formatCode="0.0%"/>
    <numFmt numFmtId="169" formatCode="0.0000000"/>
    <numFmt numFmtId="170" formatCode="0.00000"/>
  </numFmts>
  <fonts count="19" x14ac:knownFonts="1">
    <font>
      <sz val="8"/>
      <name val="Comic Sans MS"/>
      <family val="4"/>
      <charset val="161"/>
    </font>
    <font>
      <sz val="8"/>
      <name val="Comic Sans MS"/>
      <family val="4"/>
      <charset val="161"/>
    </font>
    <font>
      <b/>
      <sz val="8"/>
      <name val="Comic Sans MS"/>
      <family val="4"/>
    </font>
    <font>
      <sz val="12"/>
      <name val="Symbol"/>
      <family val="1"/>
      <charset val="2"/>
    </font>
    <font>
      <sz val="12"/>
      <name val="Arial"/>
      <family val="2"/>
    </font>
    <font>
      <sz val="10"/>
      <name val="Comic Sans MS"/>
      <family val="4"/>
      <charset val="161"/>
    </font>
    <font>
      <sz val="8"/>
      <name val="Comic Sans MS"/>
      <family val="4"/>
    </font>
    <font>
      <sz val="9"/>
      <color indexed="8"/>
      <name val="Calibri"/>
      <family val="2"/>
    </font>
    <font>
      <vertAlign val="superscript"/>
      <sz val="9"/>
      <color indexed="8"/>
      <name val="Calibri"/>
      <family val="2"/>
    </font>
    <font>
      <b/>
      <sz val="8"/>
      <name val="Comic Sans MS"/>
      <family val="4"/>
      <charset val="161"/>
    </font>
    <font>
      <vertAlign val="subscript"/>
      <sz val="8"/>
      <name val="Comic Sans MS"/>
      <family val="4"/>
      <charset val="161"/>
    </font>
    <font>
      <i/>
      <sz val="8"/>
      <name val="Comic Sans MS"/>
      <family val="4"/>
      <charset val="161"/>
    </font>
    <font>
      <b/>
      <i/>
      <sz val="12"/>
      <name val="Times New Roman"/>
      <family val="1"/>
    </font>
    <font>
      <b/>
      <sz val="10"/>
      <name val="Comic Sans MS"/>
      <family val="4"/>
      <charset val="161"/>
    </font>
    <font>
      <b/>
      <i/>
      <sz val="14"/>
      <name val="Times New Roman"/>
      <family val="1"/>
    </font>
    <font>
      <b/>
      <i/>
      <sz val="8"/>
      <name val="Comic Sans MS"/>
      <family val="4"/>
    </font>
    <font>
      <sz val="8"/>
      <color rgb="FFFF0000"/>
      <name val="Comic Sans MS"/>
      <family val="4"/>
      <charset val="161"/>
    </font>
    <font>
      <sz val="9"/>
      <color rgb="FF000000"/>
      <name val="Calibri"/>
      <family val="2"/>
    </font>
    <font>
      <b/>
      <sz val="9"/>
      <color rgb="FF000000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medium">
        <color rgb="FFFFFFFF"/>
      </right>
      <top/>
      <bottom style="medium">
        <color rgb="FFFFFFFF"/>
      </bottom>
      <diagonal/>
    </border>
    <border>
      <left style="medium">
        <color rgb="FFFFFFFF"/>
      </left>
      <right/>
      <top/>
      <bottom style="medium">
        <color rgb="FFFFFFFF"/>
      </bottom>
      <diagonal/>
    </border>
    <border>
      <left/>
      <right/>
      <top/>
      <bottom style="medium">
        <color rgb="FFFFFFFF"/>
      </bottom>
      <diagonal/>
    </border>
    <border>
      <left/>
      <right style="medium">
        <color rgb="FFFFFFFF"/>
      </right>
      <top style="medium">
        <color rgb="FFFFFFFF"/>
      </top>
      <bottom/>
      <diagonal/>
    </border>
    <border>
      <left style="medium">
        <color rgb="FFFFFFFF"/>
      </left>
      <right/>
      <top style="medium">
        <color rgb="FFFFFFFF"/>
      </top>
      <bottom/>
      <diagonal/>
    </border>
    <border>
      <left/>
      <right/>
      <top style="medium">
        <color rgb="FFFFFFFF"/>
      </top>
      <bottom/>
      <diagonal/>
    </border>
    <border>
      <left/>
      <right style="medium">
        <color rgb="FFFFFFFF"/>
      </right>
      <top/>
      <bottom/>
      <diagonal/>
    </border>
    <border>
      <left style="medium">
        <color rgb="FFFFFFFF"/>
      </left>
      <right/>
      <top/>
      <bottom/>
      <diagonal/>
    </border>
  </borders>
  <cellStyleXfs count="1">
    <xf numFmtId="2" fontId="0" fillId="0" borderId="0"/>
  </cellStyleXfs>
  <cellXfs count="549">
    <xf numFmtId="2" fontId="0" fillId="0" borderId="0" xfId="0"/>
    <xf numFmtId="1" fontId="0" fillId="0" borderId="0" xfId="0" applyNumberFormat="1"/>
    <xf numFmtId="164" fontId="0" fillId="0" borderId="0" xfId="0" applyNumberFormat="1"/>
    <xf numFmtId="1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2" fontId="0" fillId="0" borderId="0" xfId="0" applyAlignment="1">
      <alignment horizontal="right"/>
    </xf>
    <xf numFmtId="2" fontId="16" fillId="0" borderId="0" xfId="0" applyFont="1"/>
    <xf numFmtId="2" fontId="16" fillId="0" borderId="0" xfId="0" applyFont="1" applyAlignment="1">
      <alignment horizontal="right"/>
    </xf>
    <xf numFmtId="2" fontId="3" fillId="2" borderId="21" xfId="0" applyFont="1" applyFill="1" applyBorder="1" applyAlignment="1">
      <alignment horizontal="left" vertical="center" wrapText="1" indent="1" readingOrder="1"/>
    </xf>
    <xf numFmtId="2" fontId="4" fillId="2" borderId="22" xfId="0" applyFont="1" applyFill="1" applyBorder="1" applyAlignment="1">
      <alignment horizontal="left" vertical="center" wrapText="1" indent="1" readingOrder="1"/>
    </xf>
    <xf numFmtId="2" fontId="4" fillId="2" borderId="23" xfId="0" applyFont="1" applyFill="1" applyBorder="1" applyAlignment="1">
      <alignment horizontal="left" vertical="center" wrapText="1" indent="1" readingOrder="1"/>
    </xf>
    <xf numFmtId="2" fontId="4" fillId="2" borderId="24" xfId="0" applyFont="1" applyFill="1" applyBorder="1" applyAlignment="1">
      <alignment horizontal="left" vertical="center" wrapText="1" indent="1" readingOrder="1"/>
    </xf>
    <xf numFmtId="2" fontId="4" fillId="2" borderId="25" xfId="0" applyFont="1" applyFill="1" applyBorder="1" applyAlignment="1">
      <alignment horizontal="left" vertical="center" wrapText="1" indent="1" readingOrder="1"/>
    </xf>
    <xf numFmtId="2" fontId="4" fillId="2" borderId="26" xfId="0" applyFont="1" applyFill="1" applyBorder="1" applyAlignment="1">
      <alignment horizontal="left" vertical="center" wrapText="1" indent="1" readingOrder="1"/>
    </xf>
    <xf numFmtId="2" fontId="4" fillId="2" borderId="27" xfId="0" applyFont="1" applyFill="1" applyBorder="1" applyAlignment="1">
      <alignment horizontal="left" vertical="center" wrapText="1" indent="1" readingOrder="1"/>
    </xf>
    <xf numFmtId="2" fontId="4" fillId="2" borderId="28" xfId="0" applyFont="1" applyFill="1" applyBorder="1" applyAlignment="1">
      <alignment horizontal="left" vertical="center" wrapText="1" indent="1" readingOrder="1"/>
    </xf>
    <xf numFmtId="2" fontId="4" fillId="2" borderId="0" xfId="0" applyFont="1" applyFill="1" applyAlignment="1">
      <alignment horizontal="left" vertical="center" wrapText="1" indent="1" readingOrder="1"/>
    </xf>
    <xf numFmtId="2" fontId="2" fillId="3" borderId="2" xfId="0" applyFont="1" applyFill="1" applyBorder="1" applyAlignment="1">
      <alignment horizontal="right"/>
    </xf>
    <xf numFmtId="165" fontId="0" fillId="3" borderId="3" xfId="0" applyNumberFormat="1" applyFill="1" applyBorder="1"/>
    <xf numFmtId="165" fontId="0" fillId="3" borderId="4" xfId="0" applyNumberFormat="1" applyFill="1" applyBorder="1"/>
    <xf numFmtId="2" fontId="0" fillId="3" borderId="5" xfId="0" applyFill="1" applyBorder="1" applyAlignment="1">
      <alignment horizontal="center"/>
    </xf>
    <xf numFmtId="2" fontId="0" fillId="3" borderId="6" xfId="0" applyFill="1" applyBorder="1" applyAlignment="1">
      <alignment horizontal="center"/>
    </xf>
    <xf numFmtId="166" fontId="0" fillId="0" borderId="0" xfId="0" applyNumberFormat="1" applyBorder="1" applyAlignment="1">
      <alignment horizontal="center"/>
    </xf>
    <xf numFmtId="166" fontId="0" fillId="0" borderId="7" xfId="0" applyNumberFormat="1" applyBorder="1" applyAlignment="1">
      <alignment horizontal="center"/>
    </xf>
    <xf numFmtId="166" fontId="0" fillId="4" borderId="0" xfId="0" applyNumberFormat="1" applyFill="1" applyBorder="1" applyAlignment="1">
      <alignment horizontal="center"/>
    </xf>
    <xf numFmtId="166" fontId="0" fillId="0" borderId="8" xfId="0" applyNumberFormat="1" applyBorder="1" applyAlignment="1">
      <alignment horizontal="center"/>
    </xf>
    <xf numFmtId="166" fontId="0" fillId="4" borderId="9" xfId="0" applyNumberFormat="1" applyFill="1" applyBorder="1" applyAlignment="1">
      <alignment horizontal="center"/>
    </xf>
    <xf numFmtId="166" fontId="0" fillId="5" borderId="0" xfId="0" applyNumberFormat="1" applyFill="1" applyBorder="1" applyAlignment="1">
      <alignment horizontal="center"/>
    </xf>
    <xf numFmtId="166" fontId="0" fillId="0" borderId="0" xfId="0" applyNumberFormat="1"/>
    <xf numFmtId="166" fontId="0" fillId="3" borderId="0" xfId="0" applyNumberFormat="1" applyFill="1"/>
    <xf numFmtId="164" fontId="0" fillId="3" borderId="0" xfId="0" applyNumberFormat="1" applyFill="1"/>
    <xf numFmtId="2" fontId="0" fillId="3" borderId="0" xfId="0" applyFill="1"/>
    <xf numFmtId="1" fontId="0" fillId="3" borderId="0" xfId="0" applyNumberFormat="1" applyFill="1"/>
    <xf numFmtId="2" fontId="0" fillId="0" borderId="0" xfId="0" applyFill="1"/>
    <xf numFmtId="2" fontId="5" fillId="0" borderId="2" xfId="0" applyFont="1" applyBorder="1"/>
    <xf numFmtId="2" fontId="5" fillId="6" borderId="5" xfId="0" applyFont="1" applyFill="1" applyBorder="1"/>
    <xf numFmtId="2" fontId="5" fillId="7" borderId="5" xfId="0" applyFont="1" applyFill="1" applyBorder="1"/>
    <xf numFmtId="2" fontId="5" fillId="8" borderId="5" xfId="0" applyFont="1" applyFill="1" applyBorder="1"/>
    <xf numFmtId="1" fontId="5" fillId="9" borderId="3" xfId="0" applyNumberFormat="1" applyFont="1" applyFill="1" applyBorder="1"/>
    <xf numFmtId="2" fontId="5" fillId="0" borderId="0" xfId="0" applyFont="1" applyBorder="1"/>
    <xf numFmtId="2" fontId="5" fillId="0" borderId="7" xfId="0" applyFont="1" applyBorder="1"/>
    <xf numFmtId="1" fontId="5" fillId="9" borderId="4" xfId="0" applyNumberFormat="1" applyFont="1" applyFill="1" applyBorder="1"/>
    <xf numFmtId="2" fontId="5" fillId="0" borderId="8" xfId="0" applyFont="1" applyBorder="1"/>
    <xf numFmtId="2" fontId="5" fillId="0" borderId="9" xfId="0" applyFont="1" applyBorder="1"/>
    <xf numFmtId="2" fontId="0" fillId="0" borderId="0" xfId="0" applyAlignment="1">
      <alignment vertical="center" wrapText="1"/>
    </xf>
    <xf numFmtId="167" fontId="0" fillId="0" borderId="0" xfId="0" applyNumberFormat="1"/>
    <xf numFmtId="2" fontId="0" fillId="0" borderId="0" xfId="0" applyNumberFormat="1"/>
    <xf numFmtId="165" fontId="0" fillId="0" borderId="0" xfId="0" applyNumberFormat="1"/>
    <xf numFmtId="2" fontId="0" fillId="0" borderId="0" xfId="0" applyFill="1" applyBorder="1" applyAlignment="1"/>
    <xf numFmtId="2" fontId="0" fillId="0" borderId="0" xfId="0" applyAlignment="1">
      <alignment horizontal="center"/>
    </xf>
    <xf numFmtId="1" fontId="0" fillId="0" borderId="2" xfId="0" applyNumberFormat="1" applyBorder="1" applyAlignment="1">
      <alignment horizontal="center"/>
    </xf>
    <xf numFmtId="1" fontId="0" fillId="4" borderId="6" xfId="0" applyNumberFormat="1" applyFill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1" fontId="0" fillId="4" borderId="7" xfId="0" applyNumberFormat="1" applyFill="1" applyBorder="1" applyAlignment="1">
      <alignment horizontal="center"/>
    </xf>
    <xf numFmtId="1" fontId="0" fillId="0" borderId="4" xfId="0" applyNumberFormat="1" applyBorder="1" applyAlignment="1">
      <alignment horizontal="center"/>
    </xf>
    <xf numFmtId="1" fontId="0" fillId="4" borderId="9" xfId="0" applyNumberFormat="1" applyFill="1" applyBorder="1" applyAlignment="1">
      <alignment horizontal="center"/>
    </xf>
    <xf numFmtId="2" fontId="0" fillId="0" borderId="10" xfId="0" applyBorder="1" applyAlignment="1">
      <alignment horizontal="center"/>
    </xf>
    <xf numFmtId="2" fontId="0" fillId="4" borderId="11" xfId="0" applyFill="1" applyBorder="1" applyAlignment="1">
      <alignment horizontal="center"/>
    </xf>
    <xf numFmtId="2" fontId="0" fillId="3" borderId="10" xfId="0" applyFill="1" applyBorder="1" applyAlignment="1">
      <alignment horizontal="center"/>
    </xf>
    <xf numFmtId="2" fontId="0" fillId="3" borderId="12" xfId="0" applyFill="1" applyBorder="1" applyAlignment="1">
      <alignment horizontal="center"/>
    </xf>
    <xf numFmtId="2" fontId="0" fillId="3" borderId="11" xfId="0" applyFill="1" applyBorder="1" applyAlignment="1">
      <alignment horizontal="center"/>
    </xf>
    <xf numFmtId="1" fontId="0" fillId="4" borderId="5" xfId="0" applyNumberFormat="1" applyFill="1" applyBorder="1" applyAlignment="1">
      <alignment horizontal="center"/>
    </xf>
    <xf numFmtId="1" fontId="0" fillId="4" borderId="0" xfId="0" applyNumberFormat="1" applyFill="1" applyBorder="1" applyAlignment="1">
      <alignment horizontal="center"/>
    </xf>
    <xf numFmtId="1" fontId="0" fillId="4" borderId="8" xfId="0" applyNumberFormat="1" applyFill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164" fontId="0" fillId="0" borderId="5" xfId="0" applyNumberFormat="1" applyBorder="1" applyAlignment="1">
      <alignment horizontal="center"/>
    </xf>
    <xf numFmtId="164" fontId="0" fillId="0" borderId="6" xfId="0" applyNumberFormat="1" applyBorder="1" applyAlignment="1">
      <alignment horizontal="center"/>
    </xf>
    <xf numFmtId="164" fontId="0" fillId="0" borderId="3" xfId="0" applyNumberFormat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164" fontId="0" fillId="0" borderId="7" xfId="0" applyNumberFormat="1" applyBorder="1" applyAlignment="1">
      <alignment horizontal="center"/>
    </xf>
    <xf numFmtId="164" fontId="0" fillId="0" borderId="4" xfId="0" applyNumberFormat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2" fontId="0" fillId="0" borderId="0" xfId="0" applyBorder="1"/>
    <xf numFmtId="2" fontId="17" fillId="0" borderId="0" xfId="0" applyFont="1" applyBorder="1" applyAlignment="1">
      <alignment horizontal="left" vertical="center" wrapText="1"/>
    </xf>
    <xf numFmtId="2" fontId="17" fillId="0" borderId="0" xfId="0" applyFont="1" applyBorder="1" applyAlignment="1">
      <alignment horizontal="center" vertical="center" wrapText="1"/>
    </xf>
    <xf numFmtId="1" fontId="17" fillId="0" borderId="0" xfId="0" applyNumberFormat="1" applyFont="1" applyBorder="1" applyAlignment="1">
      <alignment horizontal="right" vertical="center" wrapText="1"/>
    </xf>
    <xf numFmtId="2" fontId="17" fillId="0" borderId="0" xfId="0" applyFont="1" applyBorder="1" applyAlignment="1">
      <alignment horizontal="left" vertical="top"/>
    </xf>
    <xf numFmtId="3" fontId="17" fillId="0" borderId="0" xfId="0" applyNumberFormat="1" applyFont="1" applyBorder="1" applyAlignment="1">
      <alignment horizontal="right" vertical="center" wrapText="1"/>
    </xf>
    <xf numFmtId="2" fontId="18" fillId="0" borderId="1" xfId="0" applyFont="1" applyBorder="1" applyAlignment="1">
      <alignment horizontal="left" vertical="center" wrapText="1"/>
    </xf>
    <xf numFmtId="2" fontId="18" fillId="0" borderId="1" xfId="0" applyFont="1" applyBorder="1" applyAlignment="1">
      <alignment horizontal="center" vertical="center" wrapText="1"/>
    </xf>
    <xf numFmtId="2" fontId="17" fillId="0" borderId="13" xfId="0" applyFont="1" applyBorder="1" applyAlignment="1">
      <alignment horizontal="left" vertical="top"/>
    </xf>
    <xf numFmtId="2" fontId="17" fillId="0" borderId="14" xfId="0" applyFont="1" applyBorder="1" applyAlignment="1">
      <alignment horizontal="left" vertical="top"/>
    </xf>
    <xf numFmtId="2" fontId="17" fillId="0" borderId="15" xfId="0" applyFont="1" applyBorder="1" applyAlignment="1">
      <alignment horizontal="left" vertical="top"/>
    </xf>
    <xf numFmtId="3" fontId="17" fillId="0" borderId="6" xfId="0" applyNumberFormat="1" applyFont="1" applyBorder="1" applyAlignment="1">
      <alignment horizontal="right" vertical="center" wrapText="1"/>
    </xf>
    <xf numFmtId="3" fontId="17" fillId="0" borderId="7" xfId="0" applyNumberFormat="1" applyFont="1" applyBorder="1" applyAlignment="1">
      <alignment horizontal="right" vertical="center" wrapText="1"/>
    </xf>
    <xf numFmtId="3" fontId="17" fillId="0" borderId="9" xfId="0" applyNumberFormat="1" applyFont="1" applyBorder="1" applyAlignment="1">
      <alignment horizontal="right" vertical="center" wrapText="1"/>
    </xf>
    <xf numFmtId="1" fontId="17" fillId="0" borderId="13" xfId="0" applyNumberFormat="1" applyFont="1" applyBorder="1" applyAlignment="1">
      <alignment horizontal="right" vertical="center" wrapText="1"/>
    </xf>
    <xf numFmtId="1" fontId="17" fillId="0" borderId="14" xfId="0" applyNumberFormat="1" applyFont="1" applyBorder="1" applyAlignment="1">
      <alignment horizontal="right" vertical="center" wrapText="1"/>
    </xf>
    <xf numFmtId="1" fontId="17" fillId="0" borderId="15" xfId="0" applyNumberFormat="1" applyFont="1" applyBorder="1" applyAlignment="1">
      <alignment horizontal="right" vertical="center" wrapText="1"/>
    </xf>
    <xf numFmtId="2" fontId="17" fillId="0" borderId="13" xfId="0" applyFont="1" applyFill="1" applyBorder="1" applyAlignment="1">
      <alignment horizontal="left" vertical="top"/>
    </xf>
    <xf numFmtId="2" fontId="17" fillId="0" borderId="15" xfId="0" applyFont="1" applyFill="1" applyBorder="1" applyAlignment="1">
      <alignment horizontal="left" vertical="top"/>
    </xf>
    <xf numFmtId="2" fontId="18" fillId="0" borderId="1" xfId="0" applyFont="1" applyFill="1" applyBorder="1" applyAlignment="1">
      <alignment horizontal="center" vertical="center" wrapText="1"/>
    </xf>
    <xf numFmtId="1" fontId="0" fillId="10" borderId="13" xfId="0" applyNumberFormat="1" applyFill="1" applyBorder="1"/>
    <xf numFmtId="1" fontId="0" fillId="10" borderId="14" xfId="0" applyNumberFormat="1" applyFill="1" applyBorder="1"/>
    <xf numFmtId="1" fontId="0" fillId="10" borderId="15" xfId="0" applyNumberFormat="1" applyFill="1" applyBorder="1"/>
    <xf numFmtId="1" fontId="0" fillId="10" borderId="6" xfId="0" applyNumberFormat="1" applyFill="1" applyBorder="1"/>
    <xf numFmtId="1" fontId="0" fillId="10" borderId="9" xfId="0" applyNumberFormat="1" applyFill="1" applyBorder="1"/>
    <xf numFmtId="2" fontId="0" fillId="0" borderId="1" xfId="0" applyBorder="1"/>
    <xf numFmtId="2" fontId="0" fillId="3" borderId="1" xfId="0" applyFill="1" applyBorder="1"/>
    <xf numFmtId="2" fontId="0" fillId="4" borderId="1" xfId="0" applyFill="1" applyBorder="1"/>
    <xf numFmtId="1" fontId="0" fillId="3" borderId="13" xfId="0" applyNumberFormat="1" applyFill="1" applyBorder="1"/>
    <xf numFmtId="1" fontId="0" fillId="3" borderId="14" xfId="0" applyNumberFormat="1" applyFill="1" applyBorder="1"/>
    <xf numFmtId="1" fontId="0" fillId="3" borderId="15" xfId="0" applyNumberFormat="1" applyFill="1" applyBorder="1"/>
    <xf numFmtId="1" fontId="0" fillId="4" borderId="13" xfId="0" applyNumberFormat="1" applyFill="1" applyBorder="1"/>
    <xf numFmtId="1" fontId="0" fillId="4" borderId="14" xfId="0" applyNumberFormat="1" applyFill="1" applyBorder="1"/>
    <xf numFmtId="1" fontId="0" fillId="4" borderId="15" xfId="0" applyNumberFormat="1" applyFill="1" applyBorder="1"/>
    <xf numFmtId="1" fontId="0" fillId="0" borderId="13" xfId="0" applyNumberFormat="1" applyBorder="1"/>
    <xf numFmtId="1" fontId="0" fillId="0" borderId="14" xfId="0" applyNumberFormat="1" applyBorder="1"/>
    <xf numFmtId="1" fontId="0" fillId="0" borderId="15" xfId="0" applyNumberFormat="1" applyBorder="1"/>
    <xf numFmtId="1" fontId="0" fillId="0" borderId="1" xfId="0" applyNumberFormat="1" applyBorder="1"/>
    <xf numFmtId="1" fontId="2" fillId="0" borderId="1" xfId="0" applyNumberFormat="1" applyFont="1" applyBorder="1" applyAlignment="1">
      <alignment horizontal="right"/>
    </xf>
    <xf numFmtId="1" fontId="0" fillId="3" borderId="1" xfId="0" applyNumberFormat="1" applyFill="1" applyBorder="1"/>
    <xf numFmtId="1" fontId="0" fillId="4" borderId="1" xfId="0" applyNumberFormat="1" applyFill="1" applyBorder="1"/>
    <xf numFmtId="2" fontId="0" fillId="0" borderId="13" xfId="0" applyBorder="1"/>
    <xf numFmtId="1" fontId="0" fillId="0" borderId="0" xfId="0" applyNumberFormat="1" applyBorder="1"/>
    <xf numFmtId="1" fontId="0" fillId="0" borderId="0" xfId="0" applyNumberFormat="1" applyFill="1" applyBorder="1"/>
    <xf numFmtId="1" fontId="0" fillId="0" borderId="13" xfId="0" applyNumberFormat="1" applyFill="1" applyBorder="1"/>
    <xf numFmtId="1" fontId="0" fillId="0" borderId="14" xfId="0" applyNumberFormat="1" applyFill="1" applyBorder="1"/>
    <xf numFmtId="2" fontId="0" fillId="0" borderId="1" xfId="0" applyFill="1" applyBorder="1"/>
    <xf numFmtId="1" fontId="0" fillId="0" borderId="15" xfId="0" applyNumberFormat="1" applyFill="1" applyBorder="1"/>
    <xf numFmtId="1" fontId="0" fillId="7" borderId="13" xfId="0" applyNumberFormat="1" applyFill="1" applyBorder="1"/>
    <xf numFmtId="1" fontId="0" fillId="7" borderId="14" xfId="0" applyNumberFormat="1" applyFill="1" applyBorder="1"/>
    <xf numFmtId="1" fontId="0" fillId="5" borderId="14" xfId="0" applyNumberFormat="1" applyFill="1" applyBorder="1"/>
    <xf numFmtId="1" fontId="0" fillId="5" borderId="15" xfId="0" applyNumberFormat="1" applyFill="1" applyBorder="1"/>
    <xf numFmtId="165" fontId="0" fillId="0" borderId="13" xfId="0" applyNumberFormat="1" applyFill="1" applyBorder="1"/>
    <xf numFmtId="165" fontId="0" fillId="0" borderId="14" xfId="0" applyNumberFormat="1" applyFill="1" applyBorder="1"/>
    <xf numFmtId="165" fontId="0" fillId="7" borderId="13" xfId="0" applyNumberFormat="1" applyFill="1" applyBorder="1"/>
    <xf numFmtId="165" fontId="0" fillId="7" borderId="14" xfId="0" applyNumberFormat="1" applyFill="1" applyBorder="1"/>
    <xf numFmtId="2" fontId="2" fillId="0" borderId="1" xfId="0" applyFont="1" applyBorder="1" applyAlignment="1">
      <alignment horizontal="right"/>
    </xf>
    <xf numFmtId="1" fontId="2" fillId="0" borderId="1" xfId="0" applyNumberFormat="1" applyFont="1" applyBorder="1"/>
    <xf numFmtId="1" fontId="0" fillId="0" borderId="4" xfId="0" applyNumberFormat="1" applyBorder="1"/>
    <xf numFmtId="1" fontId="0" fillId="0" borderId="8" xfId="0" applyNumberFormat="1" applyBorder="1"/>
    <xf numFmtId="165" fontId="0" fillId="0" borderId="1" xfId="0" applyNumberFormat="1" applyBorder="1"/>
    <xf numFmtId="2" fontId="0" fillId="0" borderId="14" xfId="0" applyBorder="1"/>
    <xf numFmtId="165" fontId="0" fillId="0" borderId="13" xfId="0" applyNumberFormat="1" applyBorder="1"/>
    <xf numFmtId="2" fontId="0" fillId="0" borderId="0" xfId="0" applyAlignment="1">
      <alignment horizontal="center" vertical="center" wrapText="1"/>
    </xf>
    <xf numFmtId="2" fontId="9" fillId="0" borderId="0" xfId="0" applyFont="1" applyAlignment="1">
      <alignment horizontal="center" vertical="center" wrapText="1"/>
    </xf>
    <xf numFmtId="2" fontId="9" fillId="0" borderId="0" xfId="0" applyFont="1" applyAlignment="1">
      <alignment vertical="center" wrapText="1"/>
    </xf>
    <xf numFmtId="2" fontId="0" fillId="0" borderId="0" xfId="0" applyAlignment="1">
      <alignment horizontal="center" vertical="center"/>
    </xf>
    <xf numFmtId="2" fontId="9" fillId="0" borderId="0" xfId="0" applyFont="1" applyAlignment="1">
      <alignment horizontal="right" vertical="center" wrapText="1"/>
    </xf>
    <xf numFmtId="2" fontId="0" fillId="0" borderId="16" xfId="0" applyFill="1" applyBorder="1" applyAlignment="1"/>
    <xf numFmtId="2" fontId="11" fillId="0" borderId="17" xfId="0" applyFont="1" applyFill="1" applyBorder="1" applyAlignment="1">
      <alignment horizontal="center"/>
    </xf>
    <xf numFmtId="164" fontId="0" fillId="0" borderId="0" xfId="0" applyNumberFormat="1" applyBorder="1"/>
    <xf numFmtId="164" fontId="0" fillId="0" borderId="7" xfId="0" applyNumberFormat="1" applyBorder="1"/>
    <xf numFmtId="164" fontId="0" fillId="0" borderId="8" xfId="0" applyNumberFormat="1" applyBorder="1"/>
    <xf numFmtId="164" fontId="0" fillId="0" borderId="9" xfId="0" applyNumberFormat="1" applyBorder="1"/>
    <xf numFmtId="2" fontId="12" fillId="9" borderId="2" xfId="0" applyFont="1" applyFill="1" applyBorder="1"/>
    <xf numFmtId="1" fontId="13" fillId="11" borderId="5" xfId="0" applyNumberFormat="1" applyFont="1" applyFill="1" applyBorder="1"/>
    <xf numFmtId="1" fontId="13" fillId="11" borderId="6" xfId="0" applyNumberFormat="1" applyFont="1" applyFill="1" applyBorder="1"/>
    <xf numFmtId="164" fontId="5" fillId="0" borderId="0" xfId="0" applyNumberFormat="1" applyFont="1" applyBorder="1"/>
    <xf numFmtId="164" fontId="5" fillId="0" borderId="7" xfId="0" applyNumberFormat="1" applyFont="1" applyBorder="1"/>
    <xf numFmtId="164" fontId="5" fillId="2" borderId="0" xfId="0" applyNumberFormat="1" applyFont="1" applyFill="1" applyBorder="1"/>
    <xf numFmtId="164" fontId="5" fillId="0" borderId="8" xfId="0" applyNumberFormat="1" applyFont="1" applyBorder="1"/>
    <xf numFmtId="164" fontId="5" fillId="0" borderId="9" xfId="0" applyNumberFormat="1" applyFont="1" applyBorder="1"/>
    <xf numFmtId="1" fontId="13" fillId="11" borderId="3" xfId="0" applyNumberFormat="1" applyFont="1" applyFill="1" applyBorder="1" applyAlignment="1">
      <alignment horizontal="center"/>
    </xf>
    <xf numFmtId="1" fontId="13" fillId="11" borderId="4" xfId="0" applyNumberFormat="1" applyFont="1" applyFill="1" applyBorder="1" applyAlignment="1">
      <alignment horizontal="center"/>
    </xf>
    <xf numFmtId="164" fontId="0" fillId="0" borderId="2" xfId="0" applyNumberFormat="1" applyBorder="1"/>
    <xf numFmtId="164" fontId="0" fillId="0" borderId="5" xfId="0" applyNumberFormat="1" applyBorder="1"/>
    <xf numFmtId="164" fontId="0" fillId="0" borderId="6" xfId="0" applyNumberFormat="1" applyBorder="1"/>
    <xf numFmtId="164" fontId="0" fillId="0" borderId="3" xfId="0" applyNumberFormat="1" applyBorder="1"/>
    <xf numFmtId="164" fontId="0" fillId="0" borderId="4" xfId="0" applyNumberFormat="1" applyBorder="1"/>
    <xf numFmtId="1" fontId="0" fillId="4" borderId="2" xfId="0" applyNumberFormat="1" applyFill="1" applyBorder="1"/>
    <xf numFmtId="1" fontId="0" fillId="4" borderId="3" xfId="0" applyNumberFormat="1" applyFill="1" applyBorder="1"/>
    <xf numFmtId="1" fontId="0" fillId="4" borderId="4" xfId="0" applyNumberFormat="1" applyFill="1" applyBorder="1"/>
    <xf numFmtId="165" fontId="0" fillId="3" borderId="2" xfId="0" applyNumberFormat="1" applyFill="1" applyBorder="1"/>
    <xf numFmtId="165" fontId="0" fillId="3" borderId="5" xfId="0" applyNumberFormat="1" applyFill="1" applyBorder="1"/>
    <xf numFmtId="2" fontId="0" fillId="3" borderId="5" xfId="0" applyFill="1" applyBorder="1"/>
    <xf numFmtId="164" fontId="0" fillId="3" borderId="6" xfId="0" applyNumberFormat="1" applyFill="1" applyBorder="1"/>
    <xf numFmtId="2" fontId="0" fillId="2" borderId="0" xfId="0" applyFill="1"/>
    <xf numFmtId="1" fontId="0" fillId="2" borderId="14" xfId="0" applyNumberFormat="1" applyFill="1" applyBorder="1"/>
    <xf numFmtId="1" fontId="0" fillId="2" borderId="0" xfId="0" applyNumberFormat="1" applyFill="1"/>
    <xf numFmtId="1" fontId="0" fillId="2" borderId="15" xfId="0" applyNumberFormat="1" applyFill="1" applyBorder="1"/>
    <xf numFmtId="1" fontId="0" fillId="2" borderId="0" xfId="0" applyNumberFormat="1" applyFill="1" applyBorder="1"/>
    <xf numFmtId="2" fontId="0" fillId="2" borderId="0" xfId="0" applyFill="1" applyBorder="1"/>
    <xf numFmtId="1" fontId="0" fillId="5" borderId="13" xfId="0" applyNumberFormat="1" applyFill="1" applyBorder="1"/>
    <xf numFmtId="2" fontId="0" fillId="3" borderId="13" xfId="0" applyFill="1" applyBorder="1"/>
    <xf numFmtId="2" fontId="0" fillId="4" borderId="13" xfId="0" applyFill="1" applyBorder="1"/>
    <xf numFmtId="2" fontId="0" fillId="5" borderId="13" xfId="0" applyFill="1" applyBorder="1"/>
    <xf numFmtId="1" fontId="6" fillId="3" borderId="15" xfId="0" applyNumberFormat="1" applyFont="1" applyFill="1" applyBorder="1"/>
    <xf numFmtId="1" fontId="6" fillId="4" borderId="15" xfId="0" applyNumberFormat="1" applyFont="1" applyFill="1" applyBorder="1"/>
    <xf numFmtId="1" fontId="6" fillId="5" borderId="15" xfId="0" applyNumberFormat="1" applyFont="1" applyFill="1" applyBorder="1"/>
    <xf numFmtId="1" fontId="2" fillId="0" borderId="0" xfId="0" applyNumberFormat="1" applyFont="1" applyBorder="1"/>
    <xf numFmtId="1" fontId="0" fillId="0" borderId="1" xfId="0" applyNumberFormat="1" applyBorder="1" applyAlignment="1">
      <alignment horizontal="right"/>
    </xf>
    <xf numFmtId="2" fontId="0" fillId="0" borderId="15" xfId="0" applyBorder="1"/>
    <xf numFmtId="2" fontId="2" fillId="0" borderId="1" xfId="0" applyFont="1" applyBorder="1"/>
    <xf numFmtId="1" fontId="0" fillId="3" borderId="4" xfId="0" applyNumberFormat="1" applyFill="1" applyBorder="1"/>
    <xf numFmtId="1" fontId="0" fillId="3" borderId="2" xfId="0" applyNumberFormat="1" applyFill="1" applyBorder="1"/>
    <xf numFmtId="1" fontId="0" fillId="3" borderId="3" xfId="0" applyNumberFormat="1" applyFill="1" applyBorder="1"/>
    <xf numFmtId="165" fontId="0" fillId="4" borderId="14" xfId="0" applyNumberFormat="1" applyFill="1" applyBorder="1"/>
    <xf numFmtId="165" fontId="0" fillId="0" borderId="14" xfId="0" applyNumberFormat="1" applyBorder="1"/>
    <xf numFmtId="165" fontId="0" fillId="2" borderId="14" xfId="0" applyNumberFormat="1" applyFill="1" applyBorder="1"/>
    <xf numFmtId="165" fontId="0" fillId="5" borderId="14" xfId="0" applyNumberFormat="1" applyFill="1" applyBorder="1"/>
    <xf numFmtId="165" fontId="6" fillId="4" borderId="15" xfId="0" applyNumberFormat="1" applyFont="1" applyFill="1" applyBorder="1"/>
    <xf numFmtId="165" fontId="6" fillId="5" borderId="15" xfId="0" applyNumberFormat="1" applyFont="1" applyFill="1" applyBorder="1"/>
    <xf numFmtId="1" fontId="0" fillId="0" borderId="10" xfId="0" applyNumberFormat="1" applyBorder="1"/>
    <xf numFmtId="165" fontId="0" fillId="0" borderId="10" xfId="0" applyNumberFormat="1" applyBorder="1"/>
    <xf numFmtId="2" fontId="0" fillId="0" borderId="0" xfId="0" applyAlignment="1">
      <alignment wrapText="1"/>
    </xf>
    <xf numFmtId="2" fontId="2" fillId="0" borderId="1" xfId="0" applyFont="1" applyBorder="1" applyAlignment="1">
      <alignment vertical="center" wrapText="1"/>
    </xf>
    <xf numFmtId="2" fontId="2" fillId="0" borderId="1" xfId="0" applyFont="1" applyBorder="1" applyAlignment="1">
      <alignment wrapText="1"/>
    </xf>
    <xf numFmtId="2" fontId="6" fillId="0" borderId="13" xfId="0" applyFont="1" applyBorder="1" applyAlignment="1">
      <alignment vertical="center" wrapText="1"/>
    </xf>
    <xf numFmtId="2" fontId="6" fillId="0" borderId="14" xfId="0" applyFont="1" applyBorder="1" applyAlignment="1">
      <alignment vertical="center" wrapText="1"/>
    </xf>
    <xf numFmtId="2" fontId="6" fillId="0" borderId="15" xfId="0" applyFont="1" applyBorder="1" applyAlignment="1">
      <alignment vertical="center" wrapText="1"/>
    </xf>
    <xf numFmtId="2" fontId="6" fillId="0" borderId="13" xfId="0" applyFont="1" applyBorder="1" applyAlignment="1">
      <alignment horizontal="right" vertical="center" wrapText="1"/>
    </xf>
    <xf numFmtId="2" fontId="6" fillId="0" borderId="14" xfId="0" applyFont="1" applyBorder="1" applyAlignment="1">
      <alignment horizontal="right" vertical="center" wrapText="1"/>
    </xf>
    <xf numFmtId="2" fontId="6" fillId="0" borderId="15" xfId="0" applyFont="1" applyBorder="1" applyAlignment="1">
      <alignment horizontal="right" vertical="center" wrapText="1"/>
    </xf>
    <xf numFmtId="2" fontId="0" fillId="0" borderId="13" xfId="0" applyBorder="1" applyAlignment="1">
      <alignment wrapText="1"/>
    </xf>
    <xf numFmtId="2" fontId="0" fillId="0" borderId="14" xfId="0" applyBorder="1" applyAlignment="1">
      <alignment wrapText="1"/>
    </xf>
    <xf numFmtId="2" fontId="0" fillId="0" borderId="15" xfId="0" applyBorder="1" applyAlignment="1">
      <alignment wrapText="1"/>
    </xf>
    <xf numFmtId="2" fontId="2" fillId="0" borderId="1" xfId="0" applyFont="1" applyBorder="1" applyAlignment="1">
      <alignment horizontal="right" wrapText="1"/>
    </xf>
    <xf numFmtId="164" fontId="5" fillId="8" borderId="6" xfId="0" applyNumberFormat="1" applyFont="1" applyFill="1" applyBorder="1"/>
    <xf numFmtId="2" fontId="2" fillId="0" borderId="0" xfId="0" applyFont="1" applyAlignment="1">
      <alignment horizontal="right" wrapText="1"/>
    </xf>
    <xf numFmtId="1" fontId="2" fillId="0" borderId="0" xfId="0" applyNumberFormat="1" applyFont="1" applyAlignment="1">
      <alignment wrapText="1"/>
    </xf>
    <xf numFmtId="2" fontId="2" fillId="0" borderId="1" xfId="0" applyFont="1" applyBorder="1" applyAlignment="1">
      <alignment horizontal="center" vertical="center" wrapText="1"/>
    </xf>
    <xf numFmtId="2" fontId="2" fillId="0" borderId="13" xfId="0" applyFont="1" applyBorder="1" applyAlignment="1">
      <alignment wrapText="1"/>
    </xf>
    <xf numFmtId="2" fontId="2" fillId="0" borderId="14" xfId="0" applyFont="1" applyBorder="1" applyAlignment="1">
      <alignment wrapText="1"/>
    </xf>
    <xf numFmtId="2" fontId="2" fillId="0" borderId="15" xfId="0" applyFont="1" applyBorder="1" applyAlignment="1">
      <alignment wrapText="1"/>
    </xf>
    <xf numFmtId="1" fontId="0" fillId="0" borderId="13" xfId="0" applyNumberFormat="1" applyBorder="1" applyAlignment="1">
      <alignment wrapText="1"/>
    </xf>
    <xf numFmtId="1" fontId="0" fillId="0" borderId="14" xfId="0" applyNumberFormat="1" applyBorder="1" applyAlignment="1">
      <alignment wrapText="1"/>
    </xf>
    <xf numFmtId="1" fontId="0" fillId="0" borderId="15" xfId="0" applyNumberFormat="1" applyBorder="1" applyAlignment="1">
      <alignment wrapText="1"/>
    </xf>
    <xf numFmtId="2" fontId="2" fillId="12" borderId="1" xfId="0" applyFont="1" applyFill="1" applyBorder="1" applyAlignment="1">
      <alignment vertical="center" wrapText="1"/>
    </xf>
    <xf numFmtId="2" fontId="0" fillId="12" borderId="0" xfId="0" applyFill="1" applyAlignment="1">
      <alignment wrapText="1"/>
    </xf>
    <xf numFmtId="2" fontId="6" fillId="12" borderId="13" xfId="0" applyFont="1" applyFill="1" applyBorder="1" applyAlignment="1">
      <alignment vertical="center" wrapText="1"/>
    </xf>
    <xf numFmtId="2" fontId="6" fillId="12" borderId="13" xfId="0" applyFont="1" applyFill="1" applyBorder="1" applyAlignment="1">
      <alignment horizontal="right" vertical="center" wrapText="1"/>
    </xf>
    <xf numFmtId="2" fontId="6" fillId="12" borderId="14" xfId="0" applyFont="1" applyFill="1" applyBorder="1" applyAlignment="1">
      <alignment vertical="center" wrapText="1"/>
    </xf>
    <xf numFmtId="2" fontId="6" fillId="12" borderId="14" xfId="0" applyFont="1" applyFill="1" applyBorder="1" applyAlignment="1">
      <alignment horizontal="right" vertical="center" wrapText="1"/>
    </xf>
    <xf numFmtId="2" fontId="6" fillId="12" borderId="15" xfId="0" applyFont="1" applyFill="1" applyBorder="1" applyAlignment="1">
      <alignment vertical="center" wrapText="1"/>
    </xf>
    <xf numFmtId="2" fontId="6" fillId="12" borderId="15" xfId="0" applyFont="1" applyFill="1" applyBorder="1" applyAlignment="1">
      <alignment horizontal="right" vertical="center" wrapText="1"/>
    </xf>
    <xf numFmtId="2" fontId="2" fillId="12" borderId="1" xfId="0" applyFont="1" applyFill="1" applyBorder="1" applyAlignment="1">
      <alignment horizontal="right" wrapText="1"/>
    </xf>
    <xf numFmtId="2" fontId="2" fillId="12" borderId="1" xfId="0" applyFont="1" applyFill="1" applyBorder="1" applyAlignment="1">
      <alignment wrapText="1"/>
    </xf>
    <xf numFmtId="1" fontId="0" fillId="0" borderId="1" xfId="0" applyNumberFormat="1" applyBorder="1" applyAlignment="1">
      <alignment wrapText="1"/>
    </xf>
    <xf numFmtId="2" fontId="6" fillId="0" borderId="1" xfId="0" applyFont="1" applyBorder="1" applyAlignment="1">
      <alignment horizontal="right" wrapText="1"/>
    </xf>
    <xf numFmtId="1" fontId="6" fillId="0" borderId="1" xfId="0" applyNumberFormat="1" applyFont="1" applyBorder="1" applyAlignment="1">
      <alignment wrapText="1"/>
    </xf>
    <xf numFmtId="1" fontId="6" fillId="0" borderId="13" xfId="0" applyNumberFormat="1" applyFont="1" applyBorder="1" applyAlignment="1">
      <alignment wrapText="1"/>
    </xf>
    <xf numFmtId="1" fontId="6" fillId="0" borderId="14" xfId="0" applyNumberFormat="1" applyFont="1" applyBorder="1" applyAlignment="1">
      <alignment wrapText="1"/>
    </xf>
    <xf numFmtId="1" fontId="6" fillId="0" borderId="15" xfId="0" applyNumberFormat="1" applyFont="1" applyBorder="1" applyAlignment="1">
      <alignment wrapText="1"/>
    </xf>
    <xf numFmtId="164" fontId="2" fillId="0" borderId="13" xfId="0" applyNumberFormat="1" applyFont="1" applyBorder="1" applyAlignment="1">
      <alignment wrapText="1"/>
    </xf>
    <xf numFmtId="164" fontId="0" fillId="0" borderId="13" xfId="0" applyNumberFormat="1" applyBorder="1" applyAlignment="1">
      <alignment wrapText="1"/>
    </xf>
    <xf numFmtId="164" fontId="2" fillId="0" borderId="14" xfId="0" applyNumberFormat="1" applyFont="1" applyBorder="1" applyAlignment="1">
      <alignment wrapText="1"/>
    </xf>
    <xf numFmtId="164" fontId="0" fillId="0" borderId="14" xfId="0" applyNumberFormat="1" applyBorder="1" applyAlignment="1">
      <alignment wrapText="1"/>
    </xf>
    <xf numFmtId="164" fontId="2" fillId="0" borderId="15" xfId="0" applyNumberFormat="1" applyFont="1" applyBorder="1" applyAlignment="1">
      <alignment wrapText="1"/>
    </xf>
    <xf numFmtId="164" fontId="0" fillId="0" borderId="15" xfId="0" applyNumberFormat="1" applyBorder="1" applyAlignment="1">
      <alignment wrapText="1"/>
    </xf>
    <xf numFmtId="164" fontId="2" fillId="0" borderId="1" xfId="0" applyNumberFormat="1" applyFont="1" applyBorder="1" applyAlignment="1">
      <alignment wrapText="1"/>
    </xf>
    <xf numFmtId="9" fontId="0" fillId="3" borderId="14" xfId="0" applyNumberFormat="1" applyFill="1" applyBorder="1" applyAlignment="1">
      <alignment wrapText="1"/>
    </xf>
    <xf numFmtId="168" fontId="0" fillId="3" borderId="14" xfId="0" applyNumberFormat="1" applyFill="1" applyBorder="1" applyAlignment="1">
      <alignment wrapText="1"/>
    </xf>
    <xf numFmtId="2" fontId="2" fillId="0" borderId="13" xfId="0" applyFont="1" applyBorder="1" applyAlignment="1">
      <alignment horizontal="center" vertical="center" wrapText="1"/>
    </xf>
    <xf numFmtId="1" fontId="0" fillId="0" borderId="0" xfId="0" applyNumberFormat="1" applyBorder="1" applyAlignment="1">
      <alignment wrapText="1"/>
    </xf>
    <xf numFmtId="1" fontId="2" fillId="0" borderId="13" xfId="0" applyNumberFormat="1" applyFont="1" applyBorder="1"/>
    <xf numFmtId="1" fontId="2" fillId="0" borderId="15" xfId="0" applyNumberFormat="1" applyFont="1" applyBorder="1"/>
    <xf numFmtId="2" fontId="2" fillId="0" borderId="1" xfId="0" applyFont="1" applyFill="1" applyBorder="1" applyAlignment="1">
      <alignment horizontal="center" vertical="center" wrapText="1"/>
    </xf>
    <xf numFmtId="169" fontId="0" fillId="0" borderId="0" xfId="0" applyNumberFormat="1"/>
    <xf numFmtId="2" fontId="2" fillId="0" borderId="0" xfId="0" applyFont="1" applyBorder="1" applyAlignment="1">
      <alignment horizontal="center" vertical="center" wrapText="1"/>
    </xf>
    <xf numFmtId="2" fontId="2" fillId="0" borderId="0" xfId="0" applyFont="1" applyFill="1" applyBorder="1" applyAlignment="1">
      <alignment horizontal="center" vertical="center" wrapText="1"/>
    </xf>
    <xf numFmtId="2" fontId="2" fillId="0" borderId="0" xfId="0" applyFont="1" applyBorder="1" applyAlignment="1">
      <alignment wrapText="1"/>
    </xf>
    <xf numFmtId="2" fontId="2" fillId="0" borderId="0" xfId="0" applyFont="1" applyBorder="1"/>
    <xf numFmtId="164" fontId="0" fillId="0" borderId="0" xfId="0" applyNumberFormat="1" applyAlignment="1">
      <alignment horizontal="left" vertical="center"/>
    </xf>
    <xf numFmtId="2" fontId="0" fillId="0" borderId="0" xfId="0" applyAlignment="1">
      <alignment vertical="center"/>
    </xf>
    <xf numFmtId="164" fontId="0" fillId="0" borderId="0" xfId="0" applyNumberFormat="1" applyAlignment="1">
      <alignment vertical="center"/>
    </xf>
    <xf numFmtId="1" fontId="0" fillId="0" borderId="2" xfId="0" applyNumberFormat="1" applyBorder="1" applyAlignment="1">
      <alignment horizontal="center" vertical="center"/>
    </xf>
    <xf numFmtId="1" fontId="0" fillId="0" borderId="6" xfId="0" applyNumberFormat="1" applyBorder="1" applyAlignment="1">
      <alignment horizontal="center" vertical="center"/>
    </xf>
    <xf numFmtId="1" fontId="0" fillId="0" borderId="4" xfId="0" applyNumberFormat="1" applyBorder="1" applyAlignment="1">
      <alignment horizontal="center" vertical="center"/>
    </xf>
    <xf numFmtId="1" fontId="0" fillId="0" borderId="9" xfId="0" applyNumberFormat="1" applyBorder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2" fontId="0" fillId="0" borderId="0" xfId="0" applyBorder="1" applyAlignment="1">
      <alignment vertical="center"/>
    </xf>
    <xf numFmtId="1" fontId="0" fillId="0" borderId="13" xfId="0" applyNumberFormat="1" applyBorder="1" applyAlignment="1">
      <alignment horizontal="center" wrapText="1"/>
    </xf>
    <xf numFmtId="1" fontId="0" fillId="0" borderId="15" xfId="0" applyNumberFormat="1" applyBorder="1" applyAlignment="1">
      <alignment horizontal="center" wrapText="1"/>
    </xf>
    <xf numFmtId="1" fontId="2" fillId="0" borderId="1" xfId="0" applyNumberFormat="1" applyFont="1" applyBorder="1" applyAlignment="1">
      <alignment horizontal="center"/>
    </xf>
    <xf numFmtId="1" fontId="2" fillId="0" borderId="13" xfId="0" applyNumberFormat="1" applyFont="1" applyBorder="1" applyAlignment="1">
      <alignment horizontal="center"/>
    </xf>
    <xf numFmtId="1" fontId="2" fillId="0" borderId="15" xfId="0" applyNumberFormat="1" applyFont="1" applyBorder="1" applyAlignment="1">
      <alignment horizontal="center"/>
    </xf>
    <xf numFmtId="2" fontId="2" fillId="0" borderId="1" xfId="0" applyFont="1" applyFill="1" applyBorder="1" applyAlignment="1">
      <alignment horizontal="right" vertical="center" wrapText="1"/>
    </xf>
    <xf numFmtId="1" fontId="0" fillId="0" borderId="3" xfId="0" applyNumberFormat="1" applyBorder="1" applyAlignment="1">
      <alignment wrapText="1"/>
    </xf>
    <xf numFmtId="2" fontId="2" fillId="0" borderId="13" xfId="0" applyFont="1" applyBorder="1" applyAlignment="1">
      <alignment horizontal="right" wrapText="1"/>
    </xf>
    <xf numFmtId="1" fontId="0" fillId="0" borderId="0" xfId="0" applyNumberFormat="1" applyAlignment="1">
      <alignment wrapText="1"/>
    </xf>
    <xf numFmtId="2" fontId="2" fillId="0" borderId="0" xfId="0" applyFont="1" applyAlignment="1">
      <alignment wrapText="1"/>
    </xf>
    <xf numFmtId="2" fontId="0" fillId="0" borderId="1" xfId="0" applyBorder="1" applyAlignment="1">
      <alignment wrapText="1"/>
    </xf>
    <xf numFmtId="2" fontId="0" fillId="0" borderId="2" xfId="0" applyBorder="1" applyAlignment="1">
      <alignment wrapText="1"/>
    </xf>
    <xf numFmtId="2" fontId="0" fillId="0" borderId="6" xfId="0" applyBorder="1" applyAlignment="1">
      <alignment wrapText="1"/>
    </xf>
    <xf numFmtId="2" fontId="0" fillId="0" borderId="4" xfId="0" applyBorder="1" applyAlignment="1">
      <alignment wrapText="1"/>
    </xf>
    <xf numFmtId="2" fontId="0" fillId="0" borderId="9" xfId="0" applyBorder="1" applyAlignment="1">
      <alignment wrapText="1"/>
    </xf>
    <xf numFmtId="2" fontId="0" fillId="0" borderId="0" xfId="0" applyBorder="1" applyAlignment="1">
      <alignment wrapText="1"/>
    </xf>
    <xf numFmtId="1" fontId="6" fillId="0" borderId="0" xfId="0" applyNumberFormat="1" applyFont="1" applyBorder="1" applyAlignment="1">
      <alignment horizontal="center" vertical="center" wrapText="1"/>
    </xf>
    <xf numFmtId="1" fontId="6" fillId="0" borderId="13" xfId="0" applyNumberFormat="1" applyFont="1" applyBorder="1" applyAlignment="1">
      <alignment horizontal="center" vertical="center" wrapText="1"/>
    </xf>
    <xf numFmtId="1" fontId="6" fillId="0" borderId="14" xfId="0" applyNumberFormat="1" applyFont="1" applyBorder="1" applyAlignment="1">
      <alignment horizontal="center" vertical="center" wrapText="1"/>
    </xf>
    <xf numFmtId="1" fontId="6" fillId="0" borderId="15" xfId="0" applyNumberFormat="1" applyFont="1" applyBorder="1" applyAlignment="1">
      <alignment horizontal="center" vertical="center" wrapText="1"/>
    </xf>
    <xf numFmtId="1" fontId="0" fillId="0" borderId="14" xfId="0" applyNumberFormat="1" applyBorder="1" applyAlignment="1">
      <alignment horizontal="center" wrapText="1"/>
    </xf>
    <xf numFmtId="1" fontId="6" fillId="0" borderId="5" xfId="0" applyNumberFormat="1" applyFont="1" applyBorder="1" applyAlignment="1">
      <alignment horizontal="center" vertical="center" wrapText="1"/>
    </xf>
    <xf numFmtId="2" fontId="2" fillId="0" borderId="1" xfId="0" applyFont="1" applyBorder="1" applyAlignment="1">
      <alignment horizontal="center" wrapText="1"/>
    </xf>
    <xf numFmtId="1" fontId="2" fillId="0" borderId="1" xfId="0" applyNumberFormat="1" applyFont="1" applyBorder="1" applyAlignment="1">
      <alignment horizontal="center" vertical="center" wrapText="1"/>
    </xf>
    <xf numFmtId="2" fontId="2" fillId="0" borderId="10" xfId="0" applyFont="1" applyBorder="1" applyAlignment="1">
      <alignment horizontal="right" vertical="center" wrapText="1"/>
    </xf>
    <xf numFmtId="1" fontId="2" fillId="0" borderId="11" xfId="0" applyNumberFormat="1" applyFont="1" applyBorder="1" applyAlignment="1">
      <alignment horizontal="center" vertical="center" wrapText="1"/>
    </xf>
    <xf numFmtId="2" fontId="2" fillId="0" borderId="13" xfId="0" applyFont="1" applyBorder="1" applyAlignment="1">
      <alignment vertical="center" wrapText="1"/>
    </xf>
    <xf numFmtId="2" fontId="2" fillId="0" borderId="14" xfId="0" applyFont="1" applyBorder="1" applyAlignment="1">
      <alignment vertical="center" wrapText="1"/>
    </xf>
    <xf numFmtId="2" fontId="2" fillId="0" borderId="15" xfId="0" applyFont="1" applyBorder="1" applyAlignment="1">
      <alignment vertical="center" wrapText="1"/>
    </xf>
    <xf numFmtId="170" fontId="0" fillId="0" borderId="0" xfId="0" applyNumberFormat="1" applyBorder="1" applyAlignment="1">
      <alignment horizontal="center"/>
    </xf>
    <xf numFmtId="1" fontId="6" fillId="0" borderId="13" xfId="0" applyNumberFormat="1" applyFont="1" applyBorder="1" applyAlignment="1">
      <alignment horizontal="right" vertical="center" wrapText="1"/>
    </xf>
    <xf numFmtId="1" fontId="6" fillId="0" borderId="14" xfId="0" applyNumberFormat="1" applyFont="1" applyBorder="1" applyAlignment="1">
      <alignment horizontal="right" vertical="center" wrapText="1"/>
    </xf>
    <xf numFmtId="2" fontId="0" fillId="0" borderId="3" xfId="0" applyBorder="1" applyAlignment="1">
      <alignment wrapText="1"/>
    </xf>
    <xf numFmtId="2" fontId="2" fillId="0" borderId="11" xfId="0" applyFont="1" applyBorder="1" applyAlignment="1">
      <alignment wrapText="1"/>
    </xf>
    <xf numFmtId="164" fontId="0" fillId="0" borderId="0" xfId="0" applyNumberFormat="1" applyAlignment="1">
      <alignment wrapText="1"/>
    </xf>
    <xf numFmtId="1" fontId="6" fillId="0" borderId="0" xfId="0" applyNumberFormat="1" applyFont="1" applyBorder="1" applyAlignment="1">
      <alignment wrapText="1"/>
    </xf>
    <xf numFmtId="2" fontId="2" fillId="0" borderId="0" xfId="0" applyFont="1" applyBorder="1" applyAlignment="1">
      <alignment horizontal="right" wrapText="1"/>
    </xf>
    <xf numFmtId="1" fontId="2" fillId="0" borderId="0" xfId="0" applyNumberFormat="1" applyFont="1" applyBorder="1" applyAlignment="1">
      <alignment wrapText="1"/>
    </xf>
    <xf numFmtId="1" fontId="0" fillId="3" borderId="14" xfId="0" applyNumberFormat="1" applyFill="1" applyBorder="1" applyAlignment="1">
      <alignment wrapText="1"/>
    </xf>
    <xf numFmtId="1" fontId="0" fillId="3" borderId="15" xfId="0" applyNumberFormat="1" applyFill="1" applyBorder="1" applyAlignment="1">
      <alignment wrapText="1"/>
    </xf>
    <xf numFmtId="1" fontId="6" fillId="3" borderId="14" xfId="0" applyNumberFormat="1" applyFont="1" applyFill="1" applyBorder="1" applyAlignment="1">
      <alignment wrapText="1"/>
    </xf>
    <xf numFmtId="2" fontId="2" fillId="3" borderId="15" xfId="0" applyFont="1" applyFill="1" applyBorder="1" applyAlignment="1">
      <alignment wrapText="1"/>
    </xf>
    <xf numFmtId="1" fontId="0" fillId="3" borderId="3" xfId="0" applyNumberFormat="1" applyFill="1" applyBorder="1" applyAlignment="1">
      <alignment wrapText="1"/>
    </xf>
    <xf numFmtId="1" fontId="0" fillId="3" borderId="0" xfId="0" applyNumberFormat="1" applyFill="1" applyBorder="1" applyAlignment="1">
      <alignment wrapText="1"/>
    </xf>
    <xf numFmtId="1" fontId="6" fillId="3" borderId="15" xfId="0" applyNumberFormat="1" applyFont="1" applyFill="1" applyBorder="1" applyAlignment="1">
      <alignment wrapText="1"/>
    </xf>
    <xf numFmtId="1" fontId="2" fillId="0" borderId="0" xfId="0" applyNumberFormat="1" applyFont="1" applyBorder="1" applyAlignment="1">
      <alignment horizontal="center" vertical="center" wrapText="1"/>
    </xf>
    <xf numFmtId="2" fontId="0" fillId="0" borderId="0" xfId="0" applyFill="1" applyBorder="1"/>
    <xf numFmtId="2" fontId="2" fillId="0" borderId="0" xfId="0" applyFont="1" applyFill="1" applyBorder="1" applyAlignment="1">
      <alignment wrapText="1"/>
    </xf>
    <xf numFmtId="1" fontId="0" fillId="0" borderId="0" xfId="0" applyNumberFormat="1" applyFill="1" applyBorder="1" applyAlignment="1">
      <alignment wrapText="1"/>
    </xf>
    <xf numFmtId="2" fontId="2" fillId="5" borderId="13" xfId="0" applyFont="1" applyFill="1" applyBorder="1" applyAlignment="1">
      <alignment wrapText="1"/>
    </xf>
    <xf numFmtId="1" fontId="0" fillId="5" borderId="13" xfId="0" applyNumberFormat="1" applyFill="1" applyBorder="1" applyAlignment="1">
      <alignment wrapText="1"/>
    </xf>
    <xf numFmtId="1" fontId="0" fillId="5" borderId="6" xfId="0" applyNumberFormat="1" applyFill="1" applyBorder="1" applyAlignment="1">
      <alignment wrapText="1"/>
    </xf>
    <xf numFmtId="1" fontId="0" fillId="3" borderId="9" xfId="0" applyNumberFormat="1" applyFill="1" applyBorder="1" applyAlignment="1">
      <alignment wrapText="1"/>
    </xf>
    <xf numFmtId="1" fontId="0" fillId="0" borderId="7" xfId="0" applyNumberFormat="1" applyBorder="1" applyAlignment="1">
      <alignment wrapText="1"/>
    </xf>
    <xf numFmtId="1" fontId="0" fillId="0" borderId="8" xfId="0" applyNumberFormat="1" applyBorder="1" applyAlignment="1">
      <alignment wrapText="1"/>
    </xf>
    <xf numFmtId="1" fontId="0" fillId="0" borderId="9" xfId="0" applyNumberFormat="1" applyBorder="1" applyAlignment="1">
      <alignment wrapText="1"/>
    </xf>
    <xf numFmtId="1" fontId="0" fillId="0" borderId="7" xfId="0" applyNumberFormat="1" applyBorder="1"/>
    <xf numFmtId="1" fontId="0" fillId="0" borderId="9" xfId="0" applyNumberFormat="1" applyBorder="1"/>
    <xf numFmtId="1" fontId="2" fillId="0" borderId="14" xfId="0" applyNumberFormat="1" applyFont="1" applyBorder="1"/>
    <xf numFmtId="1" fontId="2" fillId="0" borderId="0" xfId="0" applyNumberFormat="1" applyFont="1"/>
    <xf numFmtId="1" fontId="2" fillId="0" borderId="1" xfId="0" applyNumberFormat="1" applyFont="1" applyBorder="1" applyAlignment="1">
      <alignment wrapText="1"/>
    </xf>
    <xf numFmtId="1" fontId="2" fillId="0" borderId="3" xfId="0" applyNumberFormat="1" applyFont="1" applyBorder="1" applyAlignment="1">
      <alignment wrapText="1"/>
    </xf>
    <xf numFmtId="1" fontId="2" fillId="0" borderId="4" xfId="0" applyNumberFormat="1" applyFont="1" applyBorder="1" applyAlignment="1">
      <alignment wrapText="1"/>
    </xf>
    <xf numFmtId="1" fontId="2" fillId="0" borderId="3" xfId="0" applyNumberFormat="1" applyFont="1" applyBorder="1"/>
    <xf numFmtId="1" fontId="2" fillId="0" borderId="4" xfId="0" applyNumberFormat="1" applyFont="1" applyBorder="1"/>
    <xf numFmtId="2" fontId="2" fillId="0" borderId="0" xfId="0" applyFont="1" applyBorder="1" applyAlignment="1">
      <alignment vertical="center" wrapText="1"/>
    </xf>
    <xf numFmtId="2" fontId="6" fillId="0" borderId="0" xfId="0" applyFont="1" applyBorder="1" applyAlignment="1">
      <alignment vertical="center" wrapText="1"/>
    </xf>
    <xf numFmtId="1" fontId="6" fillId="0" borderId="0" xfId="0" applyNumberFormat="1" applyFont="1" applyBorder="1" applyAlignment="1">
      <alignment horizontal="right" vertical="center" wrapText="1"/>
    </xf>
    <xf numFmtId="2" fontId="6" fillId="0" borderId="0" xfId="0" applyFont="1" applyBorder="1" applyAlignment="1">
      <alignment horizontal="center" vertical="center"/>
    </xf>
    <xf numFmtId="2" fontId="2" fillId="0" borderId="0" xfId="0" applyFont="1" applyBorder="1" applyAlignment="1">
      <alignment horizontal="center" vertical="center"/>
    </xf>
    <xf numFmtId="2" fontId="2" fillId="0" borderId="1" xfId="0" applyFont="1" applyBorder="1" applyAlignment="1">
      <alignment horizontal="center" vertical="center"/>
    </xf>
    <xf numFmtId="1" fontId="6" fillId="0" borderId="3" xfId="0" applyNumberFormat="1" applyFont="1" applyBorder="1" applyAlignment="1">
      <alignment horizontal="center" vertical="center"/>
    </xf>
    <xf numFmtId="1" fontId="6" fillId="0" borderId="14" xfId="0" applyNumberFormat="1" applyFont="1" applyBorder="1" applyAlignment="1">
      <alignment horizontal="center" vertical="center"/>
    </xf>
    <xf numFmtId="1" fontId="6" fillId="0" borderId="7" xfId="0" applyNumberFormat="1" applyFont="1" applyBorder="1" applyAlignment="1">
      <alignment horizontal="center" vertical="center"/>
    </xf>
    <xf numFmtId="1" fontId="6" fillId="0" borderId="13" xfId="0" applyNumberFormat="1" applyFont="1" applyBorder="1" applyAlignment="1">
      <alignment horizontal="center" vertical="center"/>
    </xf>
    <xf numFmtId="1" fontId="6" fillId="0" borderId="4" xfId="0" applyNumberFormat="1" applyFont="1" applyBorder="1" applyAlignment="1">
      <alignment horizontal="center" vertical="center"/>
    </xf>
    <xf numFmtId="1" fontId="6" fillId="0" borderId="15" xfId="0" applyNumberFormat="1" applyFont="1" applyBorder="1" applyAlignment="1">
      <alignment horizontal="center" vertical="center"/>
    </xf>
    <xf numFmtId="1" fontId="6" fillId="0" borderId="9" xfId="0" applyNumberFormat="1" applyFont="1" applyBorder="1" applyAlignment="1">
      <alignment horizontal="center" vertical="center"/>
    </xf>
    <xf numFmtId="2" fontId="2" fillId="0" borderId="1" xfId="0" applyFont="1" applyBorder="1" applyAlignment="1">
      <alignment horizontal="center"/>
    </xf>
    <xf numFmtId="1" fontId="0" fillId="0" borderId="13" xfId="0" applyNumberFormat="1" applyBorder="1" applyAlignment="1">
      <alignment horizontal="center"/>
    </xf>
    <xf numFmtId="1" fontId="0" fillId="0" borderId="14" xfId="0" applyNumberFormat="1" applyBorder="1" applyAlignment="1">
      <alignment horizontal="center"/>
    </xf>
    <xf numFmtId="1" fontId="0" fillId="0" borderId="15" xfId="0" applyNumberFormat="1" applyBorder="1" applyAlignment="1">
      <alignment horizontal="center"/>
    </xf>
    <xf numFmtId="2" fontId="2" fillId="0" borderId="0" xfId="0" applyFont="1" applyBorder="1" applyAlignment="1">
      <alignment horizontal="center"/>
    </xf>
    <xf numFmtId="1" fontId="6" fillId="0" borderId="0" xfId="0" applyNumberFormat="1" applyFont="1" applyBorder="1" applyAlignment="1">
      <alignment horizontal="center" vertical="center"/>
    </xf>
    <xf numFmtId="1" fontId="0" fillId="0" borderId="0" xfId="0" applyNumberFormat="1" applyBorder="1" applyAlignment="1">
      <alignment horizontal="center"/>
    </xf>
    <xf numFmtId="2" fontId="6" fillId="0" borderId="0" xfId="0" applyFont="1" applyBorder="1" applyAlignment="1">
      <alignment horizontal="center" vertical="center" wrapText="1"/>
    </xf>
    <xf numFmtId="2" fontId="6" fillId="0" borderId="3" xfId="0" applyFont="1" applyBorder="1" applyAlignment="1">
      <alignment horizontal="center" vertical="center" wrapText="1"/>
    </xf>
    <xf numFmtId="2" fontId="0" fillId="0" borderId="14" xfId="0" applyBorder="1" applyAlignment="1">
      <alignment horizontal="center"/>
    </xf>
    <xf numFmtId="1" fontId="6" fillId="0" borderId="7" xfId="0" applyNumberFormat="1" applyFont="1" applyBorder="1" applyAlignment="1">
      <alignment horizontal="center" vertical="center" wrapText="1"/>
    </xf>
    <xf numFmtId="2" fontId="2" fillId="0" borderId="14" xfId="0" applyFont="1" applyBorder="1" applyAlignment="1">
      <alignment horizontal="center" vertical="center" wrapText="1"/>
    </xf>
    <xf numFmtId="2" fontId="2" fillId="0" borderId="15" xfId="0" applyFont="1" applyBorder="1" applyAlignment="1">
      <alignment horizontal="center" vertical="center" wrapText="1"/>
    </xf>
    <xf numFmtId="1" fontId="6" fillId="0" borderId="8" xfId="0" applyNumberFormat="1" applyFont="1" applyBorder="1" applyAlignment="1">
      <alignment horizontal="center" vertical="center" wrapText="1"/>
    </xf>
    <xf numFmtId="2" fontId="6" fillId="0" borderId="4" xfId="0" applyFont="1" applyBorder="1" applyAlignment="1">
      <alignment horizontal="center" vertical="center" wrapText="1"/>
    </xf>
    <xf numFmtId="2" fontId="0" fillId="0" borderId="15" xfId="0" applyBorder="1" applyAlignment="1">
      <alignment horizontal="center"/>
    </xf>
    <xf numFmtId="1" fontId="6" fillId="0" borderId="9" xfId="0" applyNumberFormat="1" applyFont="1" applyBorder="1" applyAlignment="1">
      <alignment horizontal="center" vertical="center" wrapText="1"/>
    </xf>
    <xf numFmtId="2" fontId="0" fillId="0" borderId="0" xfId="0" applyBorder="1" applyAlignment="1">
      <alignment horizontal="center"/>
    </xf>
    <xf numFmtId="1" fontId="0" fillId="0" borderId="2" xfId="0" applyNumberFormat="1" applyBorder="1"/>
    <xf numFmtId="1" fontId="0" fillId="0" borderId="6" xfId="0" applyNumberFormat="1" applyBorder="1"/>
    <xf numFmtId="1" fontId="0" fillId="0" borderId="5" xfId="0" applyNumberFormat="1" applyBorder="1"/>
    <xf numFmtId="1" fontId="0" fillId="0" borderId="3" xfId="0" applyNumberFormat="1" applyBorder="1"/>
    <xf numFmtId="2" fontId="2" fillId="0" borderId="13" xfId="0" applyFont="1" applyBorder="1"/>
    <xf numFmtId="2" fontId="6" fillId="0" borderId="13" xfId="0" applyFont="1" applyBorder="1" applyAlignment="1">
      <alignment wrapText="1"/>
    </xf>
    <xf numFmtId="2" fontId="6" fillId="0" borderId="14" xfId="0" applyFont="1" applyBorder="1" applyAlignment="1">
      <alignment wrapText="1"/>
    </xf>
    <xf numFmtId="2" fontId="6" fillId="0" borderId="15" xfId="0" applyFont="1" applyBorder="1" applyAlignment="1">
      <alignment wrapText="1"/>
    </xf>
    <xf numFmtId="2" fontId="6" fillId="0" borderId="2" xfId="0" applyFont="1" applyBorder="1" applyAlignment="1">
      <alignment wrapText="1"/>
    </xf>
    <xf numFmtId="2" fontId="6" fillId="0" borderId="6" xfId="0" applyFont="1" applyBorder="1" applyAlignment="1">
      <alignment wrapText="1"/>
    </xf>
    <xf numFmtId="2" fontId="6" fillId="0" borderId="3" xfId="0" applyFont="1" applyBorder="1" applyAlignment="1">
      <alignment wrapText="1"/>
    </xf>
    <xf numFmtId="2" fontId="6" fillId="0" borderId="4" xfId="0" applyFont="1" applyBorder="1" applyAlignment="1">
      <alignment wrapText="1"/>
    </xf>
    <xf numFmtId="164" fontId="0" fillId="0" borderId="13" xfId="0" applyNumberFormat="1" applyBorder="1"/>
    <xf numFmtId="164" fontId="0" fillId="0" borderId="14" xfId="0" applyNumberFormat="1" applyBorder="1"/>
    <xf numFmtId="164" fontId="0" fillId="0" borderId="15" xfId="0" applyNumberFormat="1" applyBorder="1"/>
    <xf numFmtId="164" fontId="0" fillId="3" borderId="14" xfId="0" applyNumberFormat="1" applyFill="1" applyBorder="1"/>
    <xf numFmtId="164" fontId="0" fillId="3" borderId="3" xfId="0" applyNumberFormat="1" applyFill="1" applyBorder="1"/>
    <xf numFmtId="164" fontId="0" fillId="13" borderId="0" xfId="0" applyNumberFormat="1" applyFill="1" applyBorder="1"/>
    <xf numFmtId="164" fontId="0" fillId="13" borderId="14" xfId="0" applyNumberFormat="1" applyFill="1" applyBorder="1"/>
    <xf numFmtId="164" fontId="0" fillId="13" borderId="8" xfId="0" applyNumberFormat="1" applyFill="1" applyBorder="1"/>
    <xf numFmtId="164" fontId="0" fillId="13" borderId="15" xfId="0" applyNumberFormat="1" applyFill="1" applyBorder="1"/>
    <xf numFmtId="2" fontId="2" fillId="0" borderId="0" xfId="0" applyFont="1" applyFill="1" applyBorder="1"/>
    <xf numFmtId="164" fontId="0" fillId="13" borderId="13" xfId="0" applyNumberFormat="1" applyFill="1" applyBorder="1"/>
    <xf numFmtId="164" fontId="0" fillId="3" borderId="7" xfId="0" applyNumberFormat="1" applyFill="1" applyBorder="1"/>
    <xf numFmtId="164" fontId="0" fillId="3" borderId="9" xfId="0" applyNumberFormat="1" applyFill="1" applyBorder="1"/>
    <xf numFmtId="2" fontId="15" fillId="0" borderId="13" xfId="0" applyFont="1" applyBorder="1"/>
    <xf numFmtId="2" fontId="2" fillId="0" borderId="13" xfId="0" applyFont="1" applyBorder="1" applyAlignment="1">
      <alignment horizontal="center"/>
    </xf>
    <xf numFmtId="2" fontId="2" fillId="0" borderId="14" xfId="0" applyFont="1" applyBorder="1" applyAlignment="1">
      <alignment horizontal="center"/>
    </xf>
    <xf numFmtId="2" fontId="2" fillId="0" borderId="15" xfId="0" applyFont="1" applyBorder="1" applyAlignment="1">
      <alignment horizontal="center"/>
    </xf>
    <xf numFmtId="2" fontId="2" fillId="0" borderId="10" xfId="0" applyFont="1" applyBorder="1"/>
    <xf numFmtId="2" fontId="2" fillId="0" borderId="11" xfId="0" applyFont="1" applyBorder="1"/>
    <xf numFmtId="164" fontId="0" fillId="0" borderId="3" xfId="0" applyNumberFormat="1" applyFill="1" applyBorder="1"/>
    <xf numFmtId="164" fontId="0" fillId="0" borderId="14" xfId="0" applyNumberFormat="1" applyFill="1" applyBorder="1"/>
    <xf numFmtId="0" fontId="0" fillId="0" borderId="0" xfId="0" applyNumberFormat="1" applyAlignment="1">
      <alignment wrapText="1"/>
    </xf>
    <xf numFmtId="0" fontId="2" fillId="0" borderId="1" xfId="0" applyNumberFormat="1" applyFont="1" applyBorder="1" applyAlignment="1">
      <alignment horizontal="center" vertical="top" wrapText="1"/>
    </xf>
    <xf numFmtId="165" fontId="0" fillId="0" borderId="15" xfId="0" applyNumberFormat="1" applyBorder="1"/>
    <xf numFmtId="0" fontId="2" fillId="0" borderId="13" xfId="0" applyNumberFormat="1" applyFont="1" applyBorder="1" applyAlignment="1">
      <alignment horizontal="center" vertical="top" wrapText="1"/>
    </xf>
    <xf numFmtId="2" fontId="0" fillId="0" borderId="8" xfId="0" applyBorder="1"/>
    <xf numFmtId="2" fontId="0" fillId="0" borderId="5" xfId="0" applyBorder="1"/>
    <xf numFmtId="2" fontId="0" fillId="0" borderId="6" xfId="0" applyBorder="1"/>
    <xf numFmtId="2" fontId="0" fillId="0" borderId="7" xfId="0" applyBorder="1"/>
    <xf numFmtId="2" fontId="0" fillId="0" borderId="9" xfId="0" applyBorder="1"/>
    <xf numFmtId="2" fontId="0" fillId="0" borderId="2" xfId="0" applyBorder="1"/>
    <xf numFmtId="2" fontId="0" fillId="0" borderId="3" xfId="0" applyBorder="1"/>
    <xf numFmtId="2" fontId="0" fillId="3" borderId="3" xfId="0" applyFill="1" applyBorder="1"/>
    <xf numFmtId="2" fontId="0" fillId="0" borderId="4" xfId="0" applyBorder="1"/>
    <xf numFmtId="14" fontId="0" fillId="0" borderId="0" xfId="0" applyNumberFormat="1"/>
    <xf numFmtId="2" fontId="0" fillId="0" borderId="13" xfId="0" applyNumberFormat="1" applyBorder="1"/>
    <xf numFmtId="2" fontId="0" fillId="0" borderId="14" xfId="0" applyNumberFormat="1" applyBorder="1"/>
    <xf numFmtId="2" fontId="0" fillId="0" borderId="15" xfId="0" applyNumberFormat="1" applyBorder="1"/>
    <xf numFmtId="2" fontId="0" fillId="0" borderId="2" xfId="0" applyBorder="1" applyAlignment="1">
      <alignment vertical="center" wrapText="1"/>
    </xf>
    <xf numFmtId="2" fontId="0" fillId="0" borderId="6" xfId="0" applyNumberFormat="1" applyBorder="1"/>
    <xf numFmtId="2" fontId="0" fillId="0" borderId="3" xfId="0" applyBorder="1" applyAlignment="1">
      <alignment vertical="center" wrapText="1"/>
    </xf>
    <xf numFmtId="2" fontId="0" fillId="0" borderId="7" xfId="0" applyNumberFormat="1" applyBorder="1"/>
    <xf numFmtId="2" fontId="0" fillId="0" borderId="4" xfId="0" applyBorder="1" applyAlignment="1">
      <alignment vertical="center" wrapText="1"/>
    </xf>
    <xf numFmtId="2" fontId="0" fillId="0" borderId="9" xfId="0" applyNumberFormat="1" applyBorder="1"/>
    <xf numFmtId="1" fontId="0" fillId="0" borderId="5" xfId="0" applyNumberFormat="1" applyBorder="1" applyAlignment="1">
      <alignment wrapText="1"/>
    </xf>
    <xf numFmtId="2" fontId="6" fillId="0" borderId="1" xfId="0" applyFont="1" applyBorder="1" applyAlignment="1">
      <alignment wrapText="1"/>
    </xf>
    <xf numFmtId="1" fontId="0" fillId="0" borderId="6" xfId="0" applyNumberFormat="1" applyBorder="1" applyAlignment="1">
      <alignment wrapText="1"/>
    </xf>
    <xf numFmtId="2" fontId="6" fillId="0" borderId="0" xfId="0" applyFont="1" applyBorder="1" applyAlignment="1">
      <alignment wrapText="1"/>
    </xf>
    <xf numFmtId="1" fontId="0" fillId="3" borderId="6" xfId="0" applyNumberFormat="1" applyFill="1" applyBorder="1" applyAlignment="1">
      <alignment wrapText="1"/>
    </xf>
    <xf numFmtId="1" fontId="0" fillId="3" borderId="8" xfId="0" applyNumberFormat="1" applyFill="1" applyBorder="1" applyAlignment="1">
      <alignment wrapText="1"/>
    </xf>
    <xf numFmtId="1" fontId="0" fillId="3" borderId="5" xfId="0" applyNumberFormat="1" applyFill="1" applyBorder="1" applyAlignment="1">
      <alignment wrapText="1"/>
    </xf>
    <xf numFmtId="1" fontId="0" fillId="3" borderId="7" xfId="0" applyNumberFormat="1" applyFill="1" applyBorder="1" applyAlignment="1">
      <alignment wrapText="1"/>
    </xf>
    <xf numFmtId="2" fontId="2" fillId="0" borderId="0" xfId="0" applyFont="1" applyBorder="1" applyAlignment="1">
      <alignment horizontal="center" wrapText="1"/>
    </xf>
    <xf numFmtId="1" fontId="0" fillId="2" borderId="0" xfId="0" applyNumberFormat="1" applyFill="1" applyBorder="1" applyAlignment="1">
      <alignment wrapText="1"/>
    </xf>
    <xf numFmtId="1" fontId="0" fillId="2" borderId="6" xfId="0" applyNumberFormat="1" applyFill="1" applyBorder="1" applyAlignment="1">
      <alignment wrapText="1"/>
    </xf>
    <xf numFmtId="1" fontId="0" fillId="3" borderId="13" xfId="0" applyNumberFormat="1" applyFill="1" applyBorder="1" applyAlignment="1">
      <alignment wrapText="1"/>
    </xf>
    <xf numFmtId="1" fontId="0" fillId="3" borderId="2" xfId="0" applyNumberFormat="1" applyFill="1" applyBorder="1" applyAlignment="1">
      <alignment wrapText="1"/>
    </xf>
    <xf numFmtId="1" fontId="0" fillId="3" borderId="4" xfId="0" applyNumberFormat="1" applyFill="1" applyBorder="1" applyAlignment="1">
      <alignment wrapText="1"/>
    </xf>
    <xf numFmtId="1" fontId="0" fillId="2" borderId="5" xfId="0" applyNumberFormat="1" applyFill="1" applyBorder="1" applyAlignment="1">
      <alignment wrapText="1"/>
    </xf>
    <xf numFmtId="1" fontId="0" fillId="2" borderId="13" xfId="0" applyNumberFormat="1" applyFill="1" applyBorder="1" applyAlignment="1">
      <alignment wrapText="1"/>
    </xf>
    <xf numFmtId="1" fontId="0" fillId="2" borderId="7" xfId="0" applyNumberFormat="1" applyFill="1" applyBorder="1" applyAlignment="1">
      <alignment wrapText="1"/>
    </xf>
    <xf numFmtId="1" fontId="0" fillId="2" borderId="14" xfId="0" applyNumberFormat="1" applyFill="1" applyBorder="1" applyAlignment="1">
      <alignment wrapText="1"/>
    </xf>
    <xf numFmtId="1" fontId="0" fillId="2" borderId="9" xfId="0" applyNumberFormat="1" applyFill="1" applyBorder="1" applyAlignment="1">
      <alignment wrapText="1"/>
    </xf>
    <xf numFmtId="1" fontId="0" fillId="2" borderId="8" xfId="0" applyNumberFormat="1" applyFill="1" applyBorder="1" applyAlignment="1">
      <alignment wrapText="1"/>
    </xf>
    <xf numFmtId="1" fontId="0" fillId="2" borderId="15" xfId="0" applyNumberFormat="1" applyFill="1" applyBorder="1" applyAlignment="1">
      <alignment wrapText="1"/>
    </xf>
    <xf numFmtId="2" fontId="6" fillId="0" borderId="5" xfId="0" applyFont="1" applyBorder="1" applyAlignment="1">
      <alignment wrapText="1"/>
    </xf>
    <xf numFmtId="2" fontId="6" fillId="0" borderId="8" xfId="0" applyFont="1" applyBorder="1" applyAlignment="1">
      <alignment wrapText="1"/>
    </xf>
    <xf numFmtId="2" fontId="0" fillId="0" borderId="5" xfId="0" applyBorder="1" applyAlignment="1">
      <alignment wrapText="1"/>
    </xf>
    <xf numFmtId="1" fontId="0" fillId="0" borderId="4" xfId="0" applyNumberFormat="1" applyBorder="1" applyAlignment="1">
      <alignment wrapText="1"/>
    </xf>
    <xf numFmtId="2" fontId="2" fillId="0" borderId="1" xfId="0" applyFont="1" applyBorder="1" applyAlignment="1">
      <alignment horizontal="left" wrapText="1"/>
    </xf>
    <xf numFmtId="2" fontId="2" fillId="0" borderId="11" xfId="0" applyFont="1" applyBorder="1" applyAlignment="1">
      <alignment horizontal="left" wrapText="1"/>
    </xf>
    <xf numFmtId="1" fontId="2" fillId="0" borderId="13" xfId="0" applyNumberFormat="1" applyFont="1" applyBorder="1" applyAlignment="1">
      <alignment wrapText="1"/>
    </xf>
    <xf numFmtId="1" fontId="2" fillId="0" borderId="14" xfId="0" applyNumberFormat="1" applyFont="1" applyBorder="1" applyAlignment="1">
      <alignment wrapText="1"/>
    </xf>
    <xf numFmtId="1" fontId="2" fillId="0" borderId="15" xfId="0" applyNumberFormat="1" applyFont="1" applyBorder="1" applyAlignment="1">
      <alignment wrapText="1"/>
    </xf>
    <xf numFmtId="2" fontId="2" fillId="3" borderId="6" xfId="0" applyFont="1" applyFill="1" applyBorder="1" applyAlignment="1">
      <alignment horizontal="right" wrapText="1"/>
    </xf>
    <xf numFmtId="2" fontId="2" fillId="3" borderId="1" xfId="0" applyFont="1" applyFill="1" applyBorder="1" applyAlignment="1">
      <alignment horizontal="right" wrapText="1"/>
    </xf>
    <xf numFmtId="2" fontId="0" fillId="0" borderId="6" xfId="0" applyNumberFormat="1" applyBorder="1" applyAlignment="1">
      <alignment wrapText="1"/>
    </xf>
    <xf numFmtId="2" fontId="0" fillId="0" borderId="5" xfId="0" applyNumberFormat="1" applyBorder="1" applyAlignment="1">
      <alignment wrapText="1"/>
    </xf>
    <xf numFmtId="2" fontId="0" fillId="0" borderId="13" xfId="0" applyNumberFormat="1" applyBorder="1" applyAlignment="1">
      <alignment wrapText="1"/>
    </xf>
    <xf numFmtId="2" fontId="0" fillId="0" borderId="7" xfId="0" applyNumberFormat="1" applyBorder="1" applyAlignment="1">
      <alignment wrapText="1"/>
    </xf>
    <xf numFmtId="2" fontId="0" fillId="0" borderId="0" xfId="0" applyNumberFormat="1" applyBorder="1" applyAlignment="1">
      <alignment wrapText="1"/>
    </xf>
    <xf numFmtId="2" fontId="0" fillId="0" borderId="14" xfId="0" applyNumberFormat="1" applyBorder="1" applyAlignment="1">
      <alignment wrapText="1"/>
    </xf>
    <xf numFmtId="2" fontId="0" fillId="0" borderId="9" xfId="0" applyNumberFormat="1" applyBorder="1" applyAlignment="1">
      <alignment wrapText="1"/>
    </xf>
    <xf numFmtId="2" fontId="0" fillId="0" borderId="8" xfId="0" applyNumberFormat="1" applyBorder="1" applyAlignment="1">
      <alignment wrapText="1"/>
    </xf>
    <xf numFmtId="2" fontId="0" fillId="0" borderId="15" xfId="0" applyNumberFormat="1" applyBorder="1" applyAlignment="1">
      <alignment wrapText="1"/>
    </xf>
    <xf numFmtId="1" fontId="0" fillId="0" borderId="18" xfId="0" applyNumberFormat="1" applyBorder="1"/>
    <xf numFmtId="2" fontId="0" fillId="0" borderId="19" xfId="0" applyBorder="1"/>
    <xf numFmtId="1" fontId="0" fillId="0" borderId="20" xfId="0" applyNumberFormat="1" applyBorder="1"/>
    <xf numFmtId="1" fontId="0" fillId="0" borderId="12" xfId="0" applyNumberFormat="1" applyBorder="1"/>
    <xf numFmtId="1" fontId="0" fillId="0" borderId="11" xfId="0" applyNumberFormat="1" applyBorder="1"/>
    <xf numFmtId="1" fontId="2" fillId="0" borderId="0" xfId="0" applyNumberFormat="1" applyFont="1" applyFill="1" applyBorder="1"/>
    <xf numFmtId="1" fontId="2" fillId="0" borderId="0" xfId="0" applyNumberFormat="1" applyFont="1" applyAlignment="1">
      <alignment horizontal="center"/>
    </xf>
    <xf numFmtId="1" fontId="0" fillId="0" borderId="8" xfId="0" applyNumberFormat="1" applyBorder="1" applyAlignment="1">
      <alignment horizontal="center"/>
    </xf>
    <xf numFmtId="2" fontId="0" fillId="0" borderId="1" xfId="0" applyBorder="1" applyAlignment="1">
      <alignment horizontal="center" wrapText="1"/>
    </xf>
    <xf numFmtId="1" fontId="0" fillId="0" borderId="5" xfId="0" applyNumberFormat="1" applyBorder="1" applyAlignment="1">
      <alignment horizontal="center"/>
    </xf>
    <xf numFmtId="1" fontId="0" fillId="0" borderId="6" xfId="0" applyNumberFormat="1" applyBorder="1" applyAlignment="1">
      <alignment horizontal="center"/>
    </xf>
    <xf numFmtId="1" fontId="0" fillId="0" borderId="7" xfId="0" applyNumberFormat="1" applyBorder="1" applyAlignment="1">
      <alignment horizontal="center"/>
    </xf>
    <xf numFmtId="1" fontId="0" fillId="0" borderId="9" xfId="0" applyNumberFormat="1" applyBorder="1" applyAlignment="1">
      <alignment horizontal="center"/>
    </xf>
    <xf numFmtId="1" fontId="0" fillId="3" borderId="0" xfId="0" applyNumberFormat="1" applyFill="1" applyBorder="1" applyAlignment="1">
      <alignment horizontal="center"/>
    </xf>
    <xf numFmtId="1" fontId="0" fillId="3" borderId="14" xfId="0" applyNumberFormat="1" applyFill="1" applyBorder="1" applyAlignment="1">
      <alignment horizontal="center"/>
    </xf>
    <xf numFmtId="1" fontId="0" fillId="3" borderId="7" xfId="0" applyNumberFormat="1" applyFill="1" applyBorder="1" applyAlignment="1">
      <alignment horizontal="center"/>
    </xf>
    <xf numFmtId="1" fontId="0" fillId="3" borderId="3" xfId="0" applyNumberFormat="1" applyFill="1" applyBorder="1" applyAlignment="1">
      <alignment horizontal="center"/>
    </xf>
    <xf numFmtId="2" fontId="2" fillId="0" borderId="0" xfId="0" applyFont="1" applyBorder="1" applyAlignment="1">
      <alignment wrapText="1"/>
    </xf>
    <xf numFmtId="2" fontId="2" fillId="0" borderId="0" xfId="0" applyFont="1" applyBorder="1"/>
    <xf numFmtId="2" fontId="0" fillId="3" borderId="10" xfId="0" applyFont="1" applyFill="1" applyBorder="1" applyAlignment="1">
      <alignment horizontal="center"/>
    </xf>
    <xf numFmtId="2" fontId="0" fillId="3" borderId="12" xfId="0" applyFont="1" applyFill="1" applyBorder="1" applyAlignment="1">
      <alignment horizontal="center"/>
    </xf>
    <xf numFmtId="2" fontId="0" fillId="3" borderId="11" xfId="0" applyFont="1" applyFill="1" applyBorder="1" applyAlignment="1">
      <alignment horizontal="center"/>
    </xf>
    <xf numFmtId="1" fontId="14" fillId="0" borderId="0" xfId="0" applyNumberFormat="1" applyFont="1" applyFill="1" applyAlignment="1">
      <alignment horizontal="center" vertical="center"/>
    </xf>
    <xf numFmtId="2" fontId="14" fillId="0" borderId="0" xfId="0" applyFont="1" applyAlignment="1">
      <alignment horizontal="center"/>
    </xf>
    <xf numFmtId="2" fontId="12" fillId="0" borderId="0" xfId="0" applyFont="1" applyBorder="1" applyAlignment="1">
      <alignment horizontal="center" vertical="center"/>
    </xf>
    <xf numFmtId="2" fontId="12" fillId="0" borderId="0" xfId="0" applyFont="1" applyAlignment="1">
      <alignment horizontal="center" vertical="center"/>
    </xf>
    <xf numFmtId="2" fontId="0" fillId="0" borderId="0" xfId="0" applyAlignment="1">
      <alignment vertical="center" wrapText="1"/>
    </xf>
    <xf numFmtId="2" fontId="0" fillId="0" borderId="0" xfId="0" applyAlignment="1">
      <alignment horizontal="center" vertical="center" wrapText="1"/>
    </xf>
    <xf numFmtId="2" fontId="9" fillId="0" borderId="0" xfId="0" applyFont="1" applyAlignment="1">
      <alignment horizontal="center" vertical="center" wrapText="1"/>
    </xf>
    <xf numFmtId="2" fontId="0" fillId="0" borderId="10" xfId="0" applyBorder="1"/>
    <xf numFmtId="2" fontId="0" fillId="0" borderId="11" xfId="0" applyBorder="1"/>
    <xf numFmtId="2" fontId="0" fillId="0" borderId="1" xfId="0" applyBorder="1"/>
    <xf numFmtId="1" fontId="2" fillId="0" borderId="1" xfId="0" applyNumberFormat="1" applyFont="1" applyBorder="1"/>
    <xf numFmtId="165" fontId="0" fillId="0" borderId="1" xfId="0" applyNumberFormat="1" applyBorder="1" applyAlignment="1">
      <alignment horizontal="center"/>
    </xf>
    <xf numFmtId="2" fontId="2" fillId="0" borderId="10" xfId="0" applyFont="1" applyBorder="1"/>
    <xf numFmtId="2" fontId="2" fillId="0" borderId="12" xfId="0" applyFont="1" applyBorder="1"/>
    <xf numFmtId="2" fontId="2" fillId="0" borderId="11" xfId="0" applyFont="1" applyBorder="1"/>
    <xf numFmtId="164" fontId="0" fillId="0" borderId="1" xfId="0" applyNumberFormat="1" applyBorder="1" applyAlignment="1">
      <alignment horizontal="left"/>
    </xf>
    <xf numFmtId="1" fontId="0" fillId="0" borderId="1" xfId="0" applyNumberFormat="1" applyBorder="1" applyAlignment="1">
      <alignment horizontal="center"/>
    </xf>
    <xf numFmtId="1" fontId="2" fillId="0" borderId="0" xfId="0" applyNumberFormat="1" applyFont="1" applyBorder="1" applyAlignment="1">
      <alignment horizontal="right"/>
    </xf>
    <xf numFmtId="1" fontId="6" fillId="0" borderId="10" xfId="0" applyNumberFormat="1" applyFont="1" applyBorder="1" applyAlignment="1">
      <alignment horizontal="right"/>
    </xf>
    <xf numFmtId="1" fontId="6" fillId="0" borderId="11" xfId="0" applyNumberFormat="1" applyFont="1" applyBorder="1" applyAlignment="1">
      <alignment horizontal="right"/>
    </xf>
    <xf numFmtId="1" fontId="0" fillId="0" borderId="1" xfId="0" applyNumberFormat="1" applyBorder="1" applyAlignment="1">
      <alignment horizontal="right"/>
    </xf>
    <xf numFmtId="1" fontId="0" fillId="0" borderId="10" xfId="0" applyNumberFormat="1" applyBorder="1" applyAlignment="1">
      <alignment horizontal="center"/>
    </xf>
    <xf numFmtId="1" fontId="0" fillId="0" borderId="12" xfId="0" applyNumberFormat="1" applyBorder="1" applyAlignment="1">
      <alignment horizontal="center"/>
    </xf>
    <xf numFmtId="1" fontId="0" fillId="0" borderId="11" xfId="0" applyNumberFormat="1" applyBorder="1" applyAlignment="1">
      <alignment horizontal="center"/>
    </xf>
    <xf numFmtId="165" fontId="0" fillId="0" borderId="10" xfId="0" applyNumberFormat="1" applyBorder="1" applyAlignment="1">
      <alignment horizontal="center"/>
    </xf>
    <xf numFmtId="165" fontId="0" fillId="0" borderId="12" xfId="0" applyNumberFormat="1" applyBorder="1" applyAlignment="1">
      <alignment horizontal="center"/>
    </xf>
    <xf numFmtId="165" fontId="0" fillId="0" borderId="11" xfId="0" applyNumberFormat="1" applyBorder="1" applyAlignment="1">
      <alignment horizontal="center"/>
    </xf>
    <xf numFmtId="2" fontId="2" fillId="0" borderId="1" xfId="0" applyFont="1" applyBorder="1"/>
    <xf numFmtId="2" fontId="17" fillId="0" borderId="0" xfId="0" applyFont="1" applyBorder="1" applyAlignment="1">
      <alignment horizontal="center" vertical="center" wrapText="1"/>
    </xf>
    <xf numFmtId="2" fontId="17" fillId="0" borderId="0" xfId="0" applyFont="1" applyBorder="1" applyAlignment="1">
      <alignment horizontal="left" vertical="center" wrapText="1"/>
    </xf>
    <xf numFmtId="2" fontId="2" fillId="0" borderId="1" xfId="0" applyFont="1" applyBorder="1" applyAlignment="1">
      <alignment wrapText="1"/>
    </xf>
    <xf numFmtId="2" fontId="0" fillId="0" borderId="0" xfId="0" applyAlignment="1">
      <alignment wrapText="1"/>
    </xf>
    <xf numFmtId="2" fontId="0" fillId="0" borderId="1" xfId="0" applyBorder="1" applyAlignment="1">
      <alignment wrapText="1"/>
    </xf>
    <xf numFmtId="2" fontId="2" fillId="0" borderId="15" xfId="0" applyFont="1" applyBorder="1" applyAlignment="1">
      <alignment horizontal="center" wrapText="1"/>
    </xf>
    <xf numFmtId="2" fontId="2" fillId="0" borderId="1" xfId="0" applyFont="1" applyBorder="1" applyAlignment="1">
      <alignment vertical="center" wrapText="1"/>
    </xf>
    <xf numFmtId="164" fontId="2" fillId="0" borderId="10" xfId="0" applyNumberFormat="1" applyFont="1" applyBorder="1" applyAlignment="1">
      <alignment horizontal="right" wrapText="1"/>
    </xf>
    <xf numFmtId="164" fontId="2" fillId="0" borderId="12" xfId="0" applyNumberFormat="1" applyFont="1" applyBorder="1" applyAlignment="1">
      <alignment horizontal="right" wrapText="1"/>
    </xf>
    <xf numFmtId="164" fontId="2" fillId="0" borderId="11" xfId="0" applyNumberFormat="1" applyFont="1" applyBorder="1" applyAlignment="1">
      <alignment horizontal="right" wrapText="1"/>
    </xf>
    <xf numFmtId="2" fontId="2" fillId="0" borderId="10" xfId="0" applyFont="1" applyBorder="1" applyAlignment="1">
      <alignment horizontal="right" wrapText="1"/>
    </xf>
    <xf numFmtId="2" fontId="2" fillId="0" borderId="12" xfId="0" applyFont="1" applyBorder="1" applyAlignment="1">
      <alignment horizontal="right" wrapText="1"/>
    </xf>
    <xf numFmtId="2" fontId="0" fillId="0" borderId="7" xfId="0" applyBorder="1" applyAlignment="1">
      <alignment horizontal="center" vertical="center"/>
    </xf>
    <xf numFmtId="164" fontId="0" fillId="0" borderId="3" xfId="0" applyNumberFormat="1" applyBorder="1" applyAlignment="1">
      <alignment horizontal="left" vertical="center"/>
    </xf>
    <xf numFmtId="2" fontId="2" fillId="0" borderId="8" xfId="0" applyFont="1" applyBorder="1" applyAlignment="1">
      <alignment horizontal="center"/>
    </xf>
    <xf numFmtId="2" fontId="2" fillId="0" borderId="0" xfId="0" applyFont="1" applyBorder="1" applyAlignment="1">
      <alignment wrapText="1"/>
    </xf>
    <xf numFmtId="2" fontId="2" fillId="0" borderId="10" xfId="0" applyFont="1" applyBorder="1" applyAlignment="1">
      <alignment wrapText="1"/>
    </xf>
    <xf numFmtId="2" fontId="2" fillId="0" borderId="12" xfId="0" applyFont="1" applyBorder="1" applyAlignment="1">
      <alignment wrapText="1"/>
    </xf>
    <xf numFmtId="2" fontId="2" fillId="0" borderId="11" xfId="0" applyFont="1" applyBorder="1" applyAlignment="1">
      <alignment wrapText="1"/>
    </xf>
    <xf numFmtId="2" fontId="2" fillId="0" borderId="4" xfId="0" applyFont="1" applyBorder="1" applyAlignment="1">
      <alignment horizontal="right" wrapText="1"/>
    </xf>
    <xf numFmtId="2" fontId="2" fillId="0" borderId="9" xfId="0" applyFont="1" applyBorder="1" applyAlignment="1">
      <alignment horizontal="right" wrapText="1"/>
    </xf>
    <xf numFmtId="2" fontId="2" fillId="0" borderId="0" xfId="0" applyFont="1" applyBorder="1"/>
    <xf numFmtId="2" fontId="0" fillId="0" borderId="5" xfId="0" applyBorder="1"/>
    <xf numFmtId="2" fontId="0" fillId="0" borderId="0" xfId="0"/>
    <xf numFmtId="2" fontId="0" fillId="0" borderId="8" xfId="0" applyBorder="1"/>
    <xf numFmtId="2" fontId="0" fillId="0" borderId="12" xfId="0" applyBorder="1"/>
    <xf numFmtId="0" fontId="0" fillId="0" borderId="3" xfId="0" applyNumberFormat="1" applyBorder="1" applyAlignment="1">
      <alignment wrapText="1"/>
    </xf>
    <xf numFmtId="2" fontId="2" fillId="0" borderId="1" xfId="0" applyFont="1" applyBorder="1" applyAlignment="1">
      <alignment horizontal="center" wrapText="1"/>
    </xf>
    <xf numFmtId="2" fontId="0" fillId="0" borderId="10" xfId="0" applyBorder="1" applyAlignment="1">
      <alignment horizontal="center" vertical="center" wrapText="1"/>
    </xf>
    <xf numFmtId="2" fontId="2" fillId="0" borderId="1" xfId="0" applyFont="1" applyBorder="1" applyAlignment="1">
      <alignment horizontal="right"/>
    </xf>
    <xf numFmtId="2" fontId="6" fillId="0" borderId="15" xfId="0" applyFont="1" applyBorder="1" applyAlignment="1">
      <alignment horizontal="center"/>
    </xf>
    <xf numFmtId="1" fontId="2" fillId="0" borderId="1" xfId="0" applyNumberFormat="1" applyFont="1" applyFill="1" applyBorder="1"/>
    <xf numFmtId="2" fontId="6" fillId="0" borderId="1" xfId="0" applyFont="1" applyBorder="1" applyAlignment="1">
      <alignment horizontal="center" vertical="center"/>
    </xf>
    <xf numFmtId="2" fontId="0" fillId="0" borderId="15" xfId="0" applyBorder="1" applyAlignment="1">
      <alignment horizontal="center"/>
    </xf>
    <xf numFmtId="2" fontId="0" fillId="0" borderId="1" xfId="0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" fontId="0" fillId="0" borderId="13" xfId="0" applyNumberFormat="1" applyBorder="1" applyAlignment="1">
      <alignment horizontal="center" vertical="center"/>
    </xf>
    <xf numFmtId="1" fontId="0" fillId="0" borderId="14" xfId="0" applyNumberFormat="1" applyBorder="1" applyAlignment="1">
      <alignment horizontal="center" vertical="center"/>
    </xf>
    <xf numFmtId="1" fontId="0" fillId="0" borderId="15" xfId="0" applyNumberFormat="1" applyBorder="1" applyAlignment="1">
      <alignment horizontal="center" vertical="center"/>
    </xf>
    <xf numFmtId="2" fontId="11" fillId="0" borderId="0" xfId="0" applyFont="1" applyFill="1" applyBorder="1" applyAlignment="1">
      <alignment horizontal="center"/>
    </xf>
    <xf numFmtId="169" fontId="0" fillId="0" borderId="0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Distributions!$F$4</c:f>
              <c:strCache>
                <c:ptCount val="1"/>
                <c:pt idx="0">
                  <c:v>Probability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accent1"/>
              </a:solidFill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1D78-437A-88D8-FB3096F621B2}"/>
              </c:ext>
            </c:extLst>
          </c:dPt>
          <c:dPt>
            <c:idx val="2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1D78-437A-88D8-FB3096F621B2}"/>
              </c:ext>
            </c:extLst>
          </c:dPt>
          <c:dPt>
            <c:idx val="3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1D78-437A-88D8-FB3096F621B2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1D78-437A-88D8-FB3096F621B2}"/>
              </c:ext>
            </c:extLst>
          </c:dPt>
          <c:dPt>
            <c:idx val="5"/>
            <c:invertIfNegative val="0"/>
            <c:bubble3D val="0"/>
            <c:spPr>
              <a:solidFill>
                <a:srgbClr val="5B9BD5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1D78-437A-88D8-FB3096F621B2}"/>
              </c:ext>
            </c:extLst>
          </c:dPt>
          <c:dPt>
            <c:idx val="6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1D78-437A-88D8-FB3096F621B2}"/>
              </c:ext>
            </c:extLst>
          </c:dPt>
          <c:dPt>
            <c:idx val="7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1D78-437A-88D8-FB3096F621B2}"/>
              </c:ext>
            </c:extLst>
          </c:dPt>
          <c:dPt>
            <c:idx val="8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1D78-437A-88D8-FB3096F621B2}"/>
              </c:ext>
            </c:extLst>
          </c:dPt>
          <c:dPt>
            <c:idx val="9"/>
            <c:invertIfNegative val="0"/>
            <c:bubble3D val="0"/>
            <c:spPr>
              <a:solidFill>
                <a:srgbClr val="5B9BD5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1D78-437A-88D8-FB3096F621B2}"/>
              </c:ext>
            </c:extLst>
          </c:dPt>
          <c:dPt>
            <c:idx val="10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1D78-437A-88D8-FB3096F621B2}"/>
              </c:ext>
            </c:extLst>
          </c:dPt>
          <c:dPt>
            <c:idx val="11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1D78-437A-88D8-FB3096F621B2}"/>
              </c:ext>
            </c:extLst>
          </c:dPt>
          <c:val>
            <c:numRef>
              <c:f>Distributions!$F$6:$F$18</c:f>
              <c:numCache>
                <c:formatCode>0.000</c:formatCode>
                <c:ptCount val="13"/>
                <c:pt idx="0">
                  <c:v>0</c:v>
                </c:pt>
                <c:pt idx="1">
                  <c:v>2.7777777777777776E-2</c:v>
                </c:pt>
                <c:pt idx="2">
                  <c:v>5.5555555555555552E-2</c:v>
                </c:pt>
                <c:pt idx="3">
                  <c:v>8.3333333333333329E-2</c:v>
                </c:pt>
                <c:pt idx="4">
                  <c:v>0.1111111111111111</c:v>
                </c:pt>
                <c:pt idx="5">
                  <c:v>0.1388888888888889</c:v>
                </c:pt>
                <c:pt idx="6">
                  <c:v>0.16666666666666666</c:v>
                </c:pt>
                <c:pt idx="7">
                  <c:v>0.1388888888888889</c:v>
                </c:pt>
                <c:pt idx="8">
                  <c:v>0.1111111111111111</c:v>
                </c:pt>
                <c:pt idx="9">
                  <c:v>8.3333333333333329E-2</c:v>
                </c:pt>
                <c:pt idx="10">
                  <c:v>5.5555555555555552E-2</c:v>
                </c:pt>
                <c:pt idx="11">
                  <c:v>2.7777777777777776E-2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1D78-437A-88D8-FB3096F621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412018496"/>
        <c:axId val="1"/>
      </c:barChart>
      <c:catAx>
        <c:axId val="412018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41201849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xVal>
            <c:numRef>
              <c:f>Distributions!$E$470:$E$529</c:f>
              <c:numCache>
                <c:formatCode>0.00</c:formatCode>
                <c:ptCount val="60"/>
                <c:pt idx="0">
                  <c:v>0.1</c:v>
                </c:pt>
                <c:pt idx="1">
                  <c:v>0.2</c:v>
                </c:pt>
                <c:pt idx="2">
                  <c:v>0.30000000000000004</c:v>
                </c:pt>
                <c:pt idx="3">
                  <c:v>0.4</c:v>
                </c:pt>
                <c:pt idx="4">
                  <c:v>0.5</c:v>
                </c:pt>
                <c:pt idx="5">
                  <c:v>0.6</c:v>
                </c:pt>
                <c:pt idx="6">
                  <c:v>0.7</c:v>
                </c:pt>
                <c:pt idx="7">
                  <c:v>0.79999999999999993</c:v>
                </c:pt>
                <c:pt idx="8">
                  <c:v>0.89999999999999991</c:v>
                </c:pt>
                <c:pt idx="9">
                  <c:v>0.99999999999999989</c:v>
                </c:pt>
                <c:pt idx="10">
                  <c:v>1.0999999999999999</c:v>
                </c:pt>
                <c:pt idx="11">
                  <c:v>1.2</c:v>
                </c:pt>
                <c:pt idx="12">
                  <c:v>1.3</c:v>
                </c:pt>
                <c:pt idx="13">
                  <c:v>1.4000000000000001</c:v>
                </c:pt>
                <c:pt idx="14">
                  <c:v>1.5000000000000002</c:v>
                </c:pt>
                <c:pt idx="15">
                  <c:v>1.6000000000000003</c:v>
                </c:pt>
                <c:pt idx="16">
                  <c:v>1.7000000000000004</c:v>
                </c:pt>
                <c:pt idx="17">
                  <c:v>1.8000000000000005</c:v>
                </c:pt>
                <c:pt idx="18">
                  <c:v>1.9000000000000006</c:v>
                </c:pt>
                <c:pt idx="19">
                  <c:v>2.0000000000000004</c:v>
                </c:pt>
                <c:pt idx="20">
                  <c:v>2.1000000000000005</c:v>
                </c:pt>
                <c:pt idx="21">
                  <c:v>2.2000000000000006</c:v>
                </c:pt>
                <c:pt idx="22">
                  <c:v>2.3000000000000007</c:v>
                </c:pt>
                <c:pt idx="23">
                  <c:v>2.4000000000000008</c:v>
                </c:pt>
                <c:pt idx="24">
                  <c:v>2.5000000000000009</c:v>
                </c:pt>
                <c:pt idx="25">
                  <c:v>2.600000000000001</c:v>
                </c:pt>
                <c:pt idx="26">
                  <c:v>2.7000000000000011</c:v>
                </c:pt>
                <c:pt idx="27">
                  <c:v>2.8000000000000012</c:v>
                </c:pt>
                <c:pt idx="28">
                  <c:v>2.9000000000000012</c:v>
                </c:pt>
                <c:pt idx="29">
                  <c:v>3.0000000000000013</c:v>
                </c:pt>
                <c:pt idx="30">
                  <c:v>3.1000000000000014</c:v>
                </c:pt>
                <c:pt idx="31">
                  <c:v>3.2000000000000015</c:v>
                </c:pt>
                <c:pt idx="32">
                  <c:v>3.3000000000000016</c:v>
                </c:pt>
                <c:pt idx="33">
                  <c:v>3.4000000000000017</c:v>
                </c:pt>
                <c:pt idx="34">
                  <c:v>3.5000000000000018</c:v>
                </c:pt>
                <c:pt idx="35">
                  <c:v>3.6000000000000019</c:v>
                </c:pt>
                <c:pt idx="36">
                  <c:v>3.700000000000002</c:v>
                </c:pt>
                <c:pt idx="37">
                  <c:v>3.800000000000002</c:v>
                </c:pt>
                <c:pt idx="38">
                  <c:v>3.9000000000000021</c:v>
                </c:pt>
                <c:pt idx="39">
                  <c:v>4.0000000000000018</c:v>
                </c:pt>
                <c:pt idx="40">
                  <c:v>4.1000000000000014</c:v>
                </c:pt>
                <c:pt idx="41">
                  <c:v>4.2000000000000011</c:v>
                </c:pt>
                <c:pt idx="42">
                  <c:v>4.3000000000000007</c:v>
                </c:pt>
                <c:pt idx="43">
                  <c:v>4.4000000000000004</c:v>
                </c:pt>
                <c:pt idx="44">
                  <c:v>4.5</c:v>
                </c:pt>
                <c:pt idx="45">
                  <c:v>4.5999999999999996</c:v>
                </c:pt>
                <c:pt idx="46">
                  <c:v>4.6999999999999993</c:v>
                </c:pt>
                <c:pt idx="47">
                  <c:v>4.7999999999999989</c:v>
                </c:pt>
                <c:pt idx="48">
                  <c:v>4.8999999999999986</c:v>
                </c:pt>
                <c:pt idx="49">
                  <c:v>4.9999999999999982</c:v>
                </c:pt>
                <c:pt idx="50">
                  <c:v>5.0999999999999979</c:v>
                </c:pt>
                <c:pt idx="51">
                  <c:v>5.1999999999999975</c:v>
                </c:pt>
                <c:pt idx="52">
                  <c:v>5.2999999999999972</c:v>
                </c:pt>
                <c:pt idx="53">
                  <c:v>5.3999999999999968</c:v>
                </c:pt>
                <c:pt idx="54">
                  <c:v>5.4999999999999964</c:v>
                </c:pt>
                <c:pt idx="55">
                  <c:v>5.5999999999999961</c:v>
                </c:pt>
                <c:pt idx="56">
                  <c:v>5.6999999999999957</c:v>
                </c:pt>
                <c:pt idx="57">
                  <c:v>5.7999999999999954</c:v>
                </c:pt>
                <c:pt idx="58">
                  <c:v>5.899999999999995</c:v>
                </c:pt>
                <c:pt idx="59">
                  <c:v>5.9999999999999947</c:v>
                </c:pt>
              </c:numCache>
            </c:numRef>
          </c:xVal>
          <c:yVal>
            <c:numRef>
              <c:f>Distributions!$F$470:$F$529</c:f>
              <c:numCache>
                <c:formatCode>0.00</c:formatCode>
                <c:ptCount val="60"/>
                <c:pt idx="0">
                  <c:v>0.91507658371794665</c:v>
                </c:pt>
                <c:pt idx="1">
                  <c:v>0.5931354528476479</c:v>
                </c:pt>
                <c:pt idx="2">
                  <c:v>0.44703975625580572</c:v>
                </c:pt>
                <c:pt idx="3">
                  <c:v>0.35949437217490765</c:v>
                </c:pt>
                <c:pt idx="4">
                  <c:v>0.3001054387190355</c:v>
                </c:pt>
                <c:pt idx="5">
                  <c:v>0.25683518502562502</c:v>
                </c:pt>
                <c:pt idx="6">
                  <c:v>0.22379593094167147</c:v>
                </c:pt>
                <c:pt idx="7">
                  <c:v>0.19771181761588263</c:v>
                </c:pt>
                <c:pt idx="8">
                  <c:v>0.17659372668241077</c:v>
                </c:pt>
                <c:pt idx="9">
                  <c:v>0.15915494309189543</c:v>
                </c:pt>
                <c:pt idx="10">
                  <c:v>0.14452217536346049</c:v>
                </c:pt>
                <c:pt idx="11">
                  <c:v>0.13207992798466989</c:v>
                </c:pt>
                <c:pt idx="12">
                  <c:v>0.12138097317487022</c:v>
                </c:pt>
                <c:pt idx="13">
                  <c:v>0.11209206442932527</c:v>
                </c:pt>
                <c:pt idx="14">
                  <c:v>0.1039595734978235</c:v>
                </c:pt>
                <c:pt idx="15">
                  <c:v>9.6786946354782799E-2</c:v>
                </c:pt>
                <c:pt idx="16">
                  <c:v>9.0419458632206962E-2</c:v>
                </c:pt>
                <c:pt idx="17">
                  <c:v>8.4733636121092526E-2</c:v>
                </c:pt>
                <c:pt idx="18">
                  <c:v>7.9629745724676237E-2</c:v>
                </c:pt>
                <c:pt idx="19">
                  <c:v>7.5026359679758861E-2</c:v>
                </c:pt>
                <c:pt idx="20">
                  <c:v>7.0856351501167314E-2</c:v>
                </c:pt>
                <c:pt idx="21">
                  <c:v>6.7063900464313098E-2</c:v>
                </c:pt>
                <c:pt idx="22">
                  <c:v>6.3602219223765757E-2</c:v>
                </c:pt>
                <c:pt idx="23">
                  <c:v>6.0431808241323513E-2</c:v>
                </c:pt>
                <c:pt idx="24">
                  <c:v>5.7519099547985189E-2</c:v>
                </c:pt>
                <c:pt idx="25">
                  <c:v>5.4835392013788363E-2</c:v>
                </c:pt>
                <c:pt idx="26">
                  <c:v>5.2356007489418675E-2</c:v>
                </c:pt>
                <c:pt idx="27">
                  <c:v>5.005961613168964E-2</c:v>
                </c:pt>
                <c:pt idx="28">
                  <c:v>4.7927692625268158E-2</c:v>
                </c:pt>
                <c:pt idx="29">
                  <c:v>4.5944074618482669E-2</c:v>
                </c:pt>
                <c:pt idx="30">
                  <c:v>4.4094601662419554E-2</c:v>
                </c:pt>
                <c:pt idx="31">
                  <c:v>4.2366818060546249E-2</c:v>
                </c:pt>
                <c:pt idx="32">
                  <c:v>4.0749726833703433E-2</c:v>
                </c:pt>
                <c:pt idx="33">
                  <c:v>3.9233584851167069E-2</c:v>
                </c:pt>
                <c:pt idx="34">
                  <c:v>3.7809731330881044E-2</c:v>
                </c:pt>
                <c:pt idx="35">
                  <c:v>3.6470443553976113E-2</c:v>
                </c:pt>
                <c:pt idx="36">
                  <c:v>3.5208814901507228E-2</c:v>
                </c:pt>
                <c:pt idx="37">
                  <c:v>3.4018651299922757E-2</c:v>
                </c:pt>
                <c:pt idx="38">
                  <c:v>3.2894382925535315E-2</c:v>
                </c:pt>
                <c:pt idx="39">
                  <c:v>3.1830988618379068E-2</c:v>
                </c:pt>
                <c:pt idx="40">
                  <c:v>3.0823930930381604E-2</c:v>
                </c:pt>
                <c:pt idx="41">
                  <c:v>2.9869100110288524E-2</c:v>
                </c:pt>
                <c:pt idx="42">
                  <c:v>2.8962765629813949E-2</c:v>
                </c:pt>
                <c:pt idx="43">
                  <c:v>2.8101534098450644E-2</c:v>
                </c:pt>
                <c:pt idx="44">
                  <c:v>2.7282312610821407E-2</c:v>
                </c:pt>
                <c:pt idx="45">
                  <c:v>2.6502276730072504E-2</c:v>
                </c:pt>
                <c:pt idx="46">
                  <c:v>2.5758842441111363E-2</c:v>
                </c:pt>
                <c:pt idx="47">
                  <c:v>2.5049641514333955E-2</c:v>
                </c:pt>
                <c:pt idx="48">
                  <c:v>2.4372499808468322E-2</c:v>
                </c:pt>
                <c:pt idx="49">
                  <c:v>2.3725418113905928E-2</c:v>
                </c:pt>
                <c:pt idx="50">
                  <c:v>2.3106555198273676E-2</c:v>
                </c:pt>
                <c:pt idx="51">
                  <c:v>2.2514212766306586E-2</c:v>
                </c:pt>
                <c:pt idx="52">
                  <c:v>2.1946822088144552E-2</c:v>
                </c:pt>
                <c:pt idx="53">
                  <c:v>2.140293208546877E-2</c:v>
                </c:pt>
                <c:pt idx="54">
                  <c:v>2.0881198694602181E-2</c:v>
                </c:pt>
                <c:pt idx="55">
                  <c:v>2.0380375350786437E-2</c:v>
                </c:pt>
                <c:pt idx="56">
                  <c:v>1.9899304459099355E-2</c:v>
                </c:pt>
                <c:pt idx="57">
                  <c:v>1.94369097355311E-2</c:v>
                </c:pt>
                <c:pt idx="58">
                  <c:v>1.8992189317119063E-2</c:v>
                </c:pt>
                <c:pt idx="59">
                  <c:v>1.85642095531828E-2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D668-42FB-9E8A-2F523DF7952C}"/>
            </c:ext>
          </c:extLst>
        </c:ser>
        <c:ser>
          <c:idx val="1"/>
          <c:order val="1"/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xVal>
            <c:numRef>
              <c:f>Distributions!$E$470:$E$529</c:f>
              <c:numCache>
                <c:formatCode>0.00</c:formatCode>
                <c:ptCount val="60"/>
                <c:pt idx="0">
                  <c:v>0.1</c:v>
                </c:pt>
                <c:pt idx="1">
                  <c:v>0.2</c:v>
                </c:pt>
                <c:pt idx="2">
                  <c:v>0.30000000000000004</c:v>
                </c:pt>
                <c:pt idx="3">
                  <c:v>0.4</c:v>
                </c:pt>
                <c:pt idx="4">
                  <c:v>0.5</c:v>
                </c:pt>
                <c:pt idx="5">
                  <c:v>0.6</c:v>
                </c:pt>
                <c:pt idx="6">
                  <c:v>0.7</c:v>
                </c:pt>
                <c:pt idx="7">
                  <c:v>0.79999999999999993</c:v>
                </c:pt>
                <c:pt idx="8">
                  <c:v>0.89999999999999991</c:v>
                </c:pt>
                <c:pt idx="9">
                  <c:v>0.99999999999999989</c:v>
                </c:pt>
                <c:pt idx="10">
                  <c:v>1.0999999999999999</c:v>
                </c:pt>
                <c:pt idx="11">
                  <c:v>1.2</c:v>
                </c:pt>
                <c:pt idx="12">
                  <c:v>1.3</c:v>
                </c:pt>
                <c:pt idx="13">
                  <c:v>1.4000000000000001</c:v>
                </c:pt>
                <c:pt idx="14">
                  <c:v>1.5000000000000002</c:v>
                </c:pt>
                <c:pt idx="15">
                  <c:v>1.6000000000000003</c:v>
                </c:pt>
                <c:pt idx="16">
                  <c:v>1.7000000000000004</c:v>
                </c:pt>
                <c:pt idx="17">
                  <c:v>1.8000000000000005</c:v>
                </c:pt>
                <c:pt idx="18">
                  <c:v>1.9000000000000006</c:v>
                </c:pt>
                <c:pt idx="19">
                  <c:v>2.0000000000000004</c:v>
                </c:pt>
                <c:pt idx="20">
                  <c:v>2.1000000000000005</c:v>
                </c:pt>
                <c:pt idx="21">
                  <c:v>2.2000000000000006</c:v>
                </c:pt>
                <c:pt idx="22">
                  <c:v>2.3000000000000007</c:v>
                </c:pt>
                <c:pt idx="23">
                  <c:v>2.4000000000000008</c:v>
                </c:pt>
                <c:pt idx="24">
                  <c:v>2.5000000000000009</c:v>
                </c:pt>
                <c:pt idx="25">
                  <c:v>2.600000000000001</c:v>
                </c:pt>
                <c:pt idx="26">
                  <c:v>2.7000000000000011</c:v>
                </c:pt>
                <c:pt idx="27">
                  <c:v>2.8000000000000012</c:v>
                </c:pt>
                <c:pt idx="28">
                  <c:v>2.9000000000000012</c:v>
                </c:pt>
                <c:pt idx="29">
                  <c:v>3.0000000000000013</c:v>
                </c:pt>
                <c:pt idx="30">
                  <c:v>3.1000000000000014</c:v>
                </c:pt>
                <c:pt idx="31">
                  <c:v>3.2000000000000015</c:v>
                </c:pt>
                <c:pt idx="32">
                  <c:v>3.3000000000000016</c:v>
                </c:pt>
                <c:pt idx="33">
                  <c:v>3.4000000000000017</c:v>
                </c:pt>
                <c:pt idx="34">
                  <c:v>3.5000000000000018</c:v>
                </c:pt>
                <c:pt idx="35">
                  <c:v>3.6000000000000019</c:v>
                </c:pt>
                <c:pt idx="36">
                  <c:v>3.700000000000002</c:v>
                </c:pt>
                <c:pt idx="37">
                  <c:v>3.800000000000002</c:v>
                </c:pt>
                <c:pt idx="38">
                  <c:v>3.9000000000000021</c:v>
                </c:pt>
                <c:pt idx="39">
                  <c:v>4.0000000000000018</c:v>
                </c:pt>
                <c:pt idx="40">
                  <c:v>4.1000000000000014</c:v>
                </c:pt>
                <c:pt idx="41">
                  <c:v>4.2000000000000011</c:v>
                </c:pt>
                <c:pt idx="42">
                  <c:v>4.3000000000000007</c:v>
                </c:pt>
                <c:pt idx="43">
                  <c:v>4.4000000000000004</c:v>
                </c:pt>
                <c:pt idx="44">
                  <c:v>4.5</c:v>
                </c:pt>
                <c:pt idx="45">
                  <c:v>4.5999999999999996</c:v>
                </c:pt>
                <c:pt idx="46">
                  <c:v>4.6999999999999993</c:v>
                </c:pt>
                <c:pt idx="47">
                  <c:v>4.7999999999999989</c:v>
                </c:pt>
                <c:pt idx="48">
                  <c:v>4.8999999999999986</c:v>
                </c:pt>
                <c:pt idx="49">
                  <c:v>4.9999999999999982</c:v>
                </c:pt>
                <c:pt idx="50">
                  <c:v>5.0999999999999979</c:v>
                </c:pt>
                <c:pt idx="51">
                  <c:v>5.1999999999999975</c:v>
                </c:pt>
                <c:pt idx="52">
                  <c:v>5.2999999999999972</c:v>
                </c:pt>
                <c:pt idx="53">
                  <c:v>5.3999999999999968</c:v>
                </c:pt>
                <c:pt idx="54">
                  <c:v>5.4999999999999964</c:v>
                </c:pt>
                <c:pt idx="55">
                  <c:v>5.5999999999999961</c:v>
                </c:pt>
                <c:pt idx="56">
                  <c:v>5.6999999999999957</c:v>
                </c:pt>
                <c:pt idx="57">
                  <c:v>5.7999999999999954</c:v>
                </c:pt>
                <c:pt idx="58">
                  <c:v>5.899999999999995</c:v>
                </c:pt>
                <c:pt idx="59">
                  <c:v>5.9999999999999947</c:v>
                </c:pt>
              </c:numCache>
            </c:numRef>
          </c:xVal>
          <c:yVal>
            <c:numRef>
              <c:f>Distributions!$G$470:$G$529</c:f>
              <c:numCache>
                <c:formatCode>0.00</c:formatCode>
                <c:ptCount val="60"/>
                <c:pt idx="0">
                  <c:v>0.2666707709307134</c:v>
                </c:pt>
                <c:pt idx="1">
                  <c:v>0.48817732744662373</c:v>
                </c:pt>
                <c:pt idx="2">
                  <c:v>0.60104081230429385</c:v>
                </c:pt>
                <c:pt idx="3">
                  <c:v>0.63883492487002902</c:v>
                </c:pt>
                <c:pt idx="4">
                  <c:v>0.63232092437920218</c:v>
                </c:pt>
                <c:pt idx="5">
                  <c:v>0.60195746490380841</c:v>
                </c:pt>
                <c:pt idx="6">
                  <c:v>0.56019766640172852</c:v>
                </c:pt>
                <c:pt idx="7">
                  <c:v>0.51429380998492047</c:v>
                </c:pt>
                <c:pt idx="8">
                  <c:v>0.46831126174170823</c:v>
                </c:pt>
                <c:pt idx="9">
                  <c:v>0.42441318157838787</c:v>
                </c:pt>
                <c:pt idx="10">
                  <c:v>0.38364663763714296</c:v>
                </c:pt>
                <c:pt idx="11">
                  <c:v>0.34641549310916753</c:v>
                </c:pt>
                <c:pt idx="12">
                  <c:v>0.31276251058265137</c:v>
                </c:pt>
                <c:pt idx="13">
                  <c:v>0.28253658215210592</c:v>
                </c:pt>
                <c:pt idx="14">
                  <c:v>0.25549104782825105</c:v>
                </c:pt>
                <c:pt idx="15">
                  <c:v>0.23134071651855675</c:v>
                </c:pt>
                <c:pt idx="16">
                  <c:v>0.20979416427678702</c:v>
                </c:pt>
                <c:pt idx="17">
                  <c:v>0.19057127657388565</c:v>
                </c:pt>
                <c:pt idx="18">
                  <c:v>0.17341204275932939</c:v>
                </c:pt>
                <c:pt idx="19">
                  <c:v>0.15808023109480043</c:v>
                </c:pt>
                <c:pt idx="20">
                  <c:v>0.14436413572035328</c:v>
                </c:pt>
                <c:pt idx="21">
                  <c:v>0.13207571543264782</c:v>
                </c:pt>
                <c:pt idx="22">
                  <c:v>0.12104891382814494</c:v>
                </c:pt>
                <c:pt idx="23">
                  <c:v>0.11113762701437108</c:v>
                </c:pt>
                <c:pt idx="24">
                  <c:v>0.10221358797920445</c:v>
                </c:pt>
                <c:pt idx="25">
                  <c:v>9.4164316926588665E-2</c:v>
                </c:pt>
                <c:pt idx="26">
                  <c:v>8.6891214626218211E-2</c:v>
                </c:pt>
                <c:pt idx="27">
                  <c:v>8.0307832807185661E-2</c:v>
                </c:pt>
                <c:pt idx="28">
                  <c:v>7.4338330589583002E-2</c:v>
                </c:pt>
                <c:pt idx="29">
                  <c:v>6.8916111927723969E-2</c:v>
                </c:pt>
                <c:pt idx="30">
                  <c:v>6.3982631714558771E-2</c:v>
                </c:pt>
                <c:pt idx="31">
                  <c:v>5.9486354888480059E-2</c:v>
                </c:pt>
                <c:pt idx="32">
                  <c:v>5.5381851929995202E-2</c:v>
                </c:pt>
                <c:pt idx="33">
                  <c:v>5.1629014511701286E-2</c:v>
                </c:pt>
                <c:pt idx="34">
                  <c:v>4.8192376143328927E-2</c:v>
                </c:pt>
                <c:pt idx="35">
                  <c:v>4.5040524055639207E-2</c:v>
                </c:pt>
                <c:pt idx="36">
                  <c:v>4.214559006911113E-2</c:v>
                </c:pt>
                <c:pt idx="37">
                  <c:v>3.9482809668441692E-2</c:v>
                </c:pt>
                <c:pt idx="38">
                  <c:v>3.7030139884022671E-2</c:v>
                </c:pt>
                <c:pt idx="39">
                  <c:v>3.4767927834901485E-2</c:v>
                </c:pt>
                <c:pt idx="40">
                  <c:v>3.2678622903829682E-2</c:v>
                </c:pt>
                <c:pt idx="41">
                  <c:v>3.0746526495657782E-2</c:v>
                </c:pt>
                <c:pt idx="42">
                  <c:v>2.8957574183962186E-2</c:v>
                </c:pt>
                <c:pt idx="43">
                  <c:v>2.7299145788952643E-2</c:v>
                </c:pt>
                <c:pt idx="44">
                  <c:v>2.5759899565056699E-2</c:v>
                </c:pt>
                <c:pt idx="45">
                  <c:v>2.432962722165825E-2</c:v>
                </c:pt>
                <c:pt idx="46">
                  <c:v>2.2999126967081313E-2</c:v>
                </c:pt>
                <c:pt idx="47">
                  <c:v>2.1760092164792754E-2</c:v>
                </c:pt>
                <c:pt idx="48">
                  <c:v>2.0605013531513332E-2</c:v>
                </c:pt>
                <c:pt idx="49">
                  <c:v>1.9527093097864965E-2</c:v>
                </c:pt>
                <c:pt idx="50">
                  <c:v>1.8520168400631063E-2</c:v>
                </c:pt>
                <c:pt idx="51">
                  <c:v>1.7578645587945283E-2</c:v>
                </c:pt>
                <c:pt idx="52">
                  <c:v>1.6697440300136913E-2</c:v>
                </c:pt>
                <c:pt idx="53">
                  <c:v>1.5871925344143417E-2</c:v>
                </c:pt>
                <c:pt idx="54">
                  <c:v>1.5097884312267253E-2</c:v>
                </c:pt>
                <c:pt idx="55">
                  <c:v>1.4371470409932606E-2</c:v>
                </c:pt>
                <c:pt idx="56">
                  <c:v>1.3689169854809523E-2</c:v>
                </c:pt>
                <c:pt idx="57">
                  <c:v>1.3047769293616104E-2</c:v>
                </c:pt>
                <c:pt idx="58">
                  <c:v>1.2444326755112423E-2</c:v>
                </c:pt>
                <c:pt idx="59">
                  <c:v>1.187614571998701E-2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D668-42FB-9E8A-2F523DF7952C}"/>
            </c:ext>
          </c:extLst>
        </c:ser>
        <c:ser>
          <c:idx val="2"/>
          <c:order val="2"/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xVal>
            <c:numRef>
              <c:f>Distributions!$E$470:$E$529</c:f>
              <c:numCache>
                <c:formatCode>0.00</c:formatCode>
                <c:ptCount val="60"/>
                <c:pt idx="0">
                  <c:v>0.1</c:v>
                </c:pt>
                <c:pt idx="1">
                  <c:v>0.2</c:v>
                </c:pt>
                <c:pt idx="2">
                  <c:v>0.30000000000000004</c:v>
                </c:pt>
                <c:pt idx="3">
                  <c:v>0.4</c:v>
                </c:pt>
                <c:pt idx="4">
                  <c:v>0.5</c:v>
                </c:pt>
                <c:pt idx="5">
                  <c:v>0.6</c:v>
                </c:pt>
                <c:pt idx="6">
                  <c:v>0.7</c:v>
                </c:pt>
                <c:pt idx="7">
                  <c:v>0.79999999999999993</c:v>
                </c:pt>
                <c:pt idx="8">
                  <c:v>0.89999999999999991</c:v>
                </c:pt>
                <c:pt idx="9">
                  <c:v>0.99999999999999989</c:v>
                </c:pt>
                <c:pt idx="10">
                  <c:v>1.0999999999999999</c:v>
                </c:pt>
                <c:pt idx="11">
                  <c:v>1.2</c:v>
                </c:pt>
                <c:pt idx="12">
                  <c:v>1.3</c:v>
                </c:pt>
                <c:pt idx="13">
                  <c:v>1.4000000000000001</c:v>
                </c:pt>
                <c:pt idx="14">
                  <c:v>1.5000000000000002</c:v>
                </c:pt>
                <c:pt idx="15">
                  <c:v>1.6000000000000003</c:v>
                </c:pt>
                <c:pt idx="16">
                  <c:v>1.7000000000000004</c:v>
                </c:pt>
                <c:pt idx="17">
                  <c:v>1.8000000000000005</c:v>
                </c:pt>
                <c:pt idx="18">
                  <c:v>1.9000000000000006</c:v>
                </c:pt>
                <c:pt idx="19">
                  <c:v>2.0000000000000004</c:v>
                </c:pt>
                <c:pt idx="20">
                  <c:v>2.1000000000000005</c:v>
                </c:pt>
                <c:pt idx="21">
                  <c:v>2.2000000000000006</c:v>
                </c:pt>
                <c:pt idx="22">
                  <c:v>2.3000000000000007</c:v>
                </c:pt>
                <c:pt idx="23">
                  <c:v>2.4000000000000008</c:v>
                </c:pt>
                <c:pt idx="24">
                  <c:v>2.5000000000000009</c:v>
                </c:pt>
                <c:pt idx="25">
                  <c:v>2.600000000000001</c:v>
                </c:pt>
                <c:pt idx="26">
                  <c:v>2.7000000000000011</c:v>
                </c:pt>
                <c:pt idx="27">
                  <c:v>2.8000000000000012</c:v>
                </c:pt>
                <c:pt idx="28">
                  <c:v>2.9000000000000012</c:v>
                </c:pt>
                <c:pt idx="29">
                  <c:v>3.0000000000000013</c:v>
                </c:pt>
                <c:pt idx="30">
                  <c:v>3.1000000000000014</c:v>
                </c:pt>
                <c:pt idx="31">
                  <c:v>3.2000000000000015</c:v>
                </c:pt>
                <c:pt idx="32">
                  <c:v>3.3000000000000016</c:v>
                </c:pt>
                <c:pt idx="33">
                  <c:v>3.4000000000000017</c:v>
                </c:pt>
                <c:pt idx="34">
                  <c:v>3.5000000000000018</c:v>
                </c:pt>
                <c:pt idx="35">
                  <c:v>3.6000000000000019</c:v>
                </c:pt>
                <c:pt idx="36">
                  <c:v>3.700000000000002</c:v>
                </c:pt>
                <c:pt idx="37">
                  <c:v>3.800000000000002</c:v>
                </c:pt>
                <c:pt idx="38">
                  <c:v>3.9000000000000021</c:v>
                </c:pt>
                <c:pt idx="39">
                  <c:v>4.0000000000000018</c:v>
                </c:pt>
                <c:pt idx="40">
                  <c:v>4.1000000000000014</c:v>
                </c:pt>
                <c:pt idx="41">
                  <c:v>4.2000000000000011</c:v>
                </c:pt>
                <c:pt idx="42">
                  <c:v>4.3000000000000007</c:v>
                </c:pt>
                <c:pt idx="43">
                  <c:v>4.4000000000000004</c:v>
                </c:pt>
                <c:pt idx="44">
                  <c:v>4.5</c:v>
                </c:pt>
                <c:pt idx="45">
                  <c:v>4.5999999999999996</c:v>
                </c:pt>
                <c:pt idx="46">
                  <c:v>4.6999999999999993</c:v>
                </c:pt>
                <c:pt idx="47">
                  <c:v>4.7999999999999989</c:v>
                </c:pt>
                <c:pt idx="48">
                  <c:v>4.8999999999999986</c:v>
                </c:pt>
                <c:pt idx="49">
                  <c:v>4.9999999999999982</c:v>
                </c:pt>
                <c:pt idx="50">
                  <c:v>5.0999999999999979</c:v>
                </c:pt>
                <c:pt idx="51">
                  <c:v>5.1999999999999975</c:v>
                </c:pt>
                <c:pt idx="52">
                  <c:v>5.2999999999999972</c:v>
                </c:pt>
                <c:pt idx="53">
                  <c:v>5.3999999999999968</c:v>
                </c:pt>
                <c:pt idx="54">
                  <c:v>5.4999999999999964</c:v>
                </c:pt>
                <c:pt idx="55">
                  <c:v>5.5999999999999961</c:v>
                </c:pt>
                <c:pt idx="56">
                  <c:v>5.6999999999999957</c:v>
                </c:pt>
                <c:pt idx="57">
                  <c:v>5.7999999999999954</c:v>
                </c:pt>
                <c:pt idx="58">
                  <c:v>5.899999999999995</c:v>
                </c:pt>
                <c:pt idx="59">
                  <c:v>5.9999999999999947</c:v>
                </c:pt>
              </c:numCache>
            </c:numRef>
          </c:xVal>
          <c:yVal>
            <c:numRef>
              <c:f>Distributions!$H$470:$H$529</c:f>
              <c:numCache>
                <c:formatCode>0.00</c:formatCode>
                <c:ptCount val="60"/>
                <c:pt idx="0">
                  <c:v>1.3731401069614387E-4</c:v>
                </c:pt>
                <c:pt idx="1">
                  <c:v>1.2337114501997093E-2</c:v>
                </c:pt>
                <c:pt idx="2">
                  <c:v>9.5673751107236915E-2</c:v>
                </c:pt>
                <c:pt idx="3">
                  <c:v>0.28943281187002962</c:v>
                </c:pt>
                <c:pt idx="4">
                  <c:v>0.54259203392598809</c:v>
                </c:pt>
                <c:pt idx="5">
                  <c:v>0.7700699132927451</c:v>
                </c:pt>
                <c:pt idx="6">
                  <c:v>0.91721782902142945</c:v>
                </c:pt>
                <c:pt idx="7">
                  <c:v>0.97258672232927323</c:v>
                </c:pt>
                <c:pt idx="8">
                  <c:v>0.95209245021846522</c:v>
                </c:pt>
                <c:pt idx="9">
                  <c:v>0.88098526000976651</c:v>
                </c:pt>
                <c:pt idx="10">
                  <c:v>0.7829189900618384</c:v>
                </c:pt>
                <c:pt idx="11">
                  <c:v>0.67568791813304707</c:v>
                </c:pt>
                <c:pt idx="12">
                  <c:v>0.57082371262123677</c:v>
                </c:pt>
                <c:pt idx="13">
                  <c:v>0.47478396427878539</c:v>
                </c:pt>
                <c:pt idx="14">
                  <c:v>0.39047183512129996</c:v>
                </c:pt>
                <c:pt idx="15">
                  <c:v>0.31855280966132493</c:v>
                </c:pt>
                <c:pt idx="16">
                  <c:v>0.25842442860176779</c:v>
                </c:pt>
                <c:pt idx="17">
                  <c:v>0.20886250121021915</c:v>
                </c:pt>
                <c:pt idx="18">
                  <c:v>0.16841896962977351</c:v>
                </c:pt>
                <c:pt idx="19">
                  <c:v>0.13564800848149675</c:v>
                </c:pt>
                <c:pt idx="20">
                  <c:v>0.10922154897307229</c:v>
                </c:pt>
                <c:pt idx="21">
                  <c:v>8.7977803805804222E-2</c:v>
                </c:pt>
                <c:pt idx="22">
                  <c:v>7.0931685868098213E-2</c:v>
                </c:pt>
                <c:pt idx="23">
                  <c:v>5.7265280193279436E-2</c:v>
                </c:pt>
                <c:pt idx="24">
                  <c:v>4.6309249899204478E-2</c:v>
                </c:pt>
                <c:pt idx="25">
                  <c:v>3.7521368675257141E-2</c:v>
                </c:pt>
                <c:pt idx="26">
                  <c:v>3.0465474843596088E-2</c:v>
                </c:pt>
                <c:pt idx="27">
                  <c:v>2.4792419125116878E-2</c:v>
                </c:pt>
                <c:pt idx="28">
                  <c:v>2.0223596702556284E-2</c:v>
                </c:pt>
                <c:pt idx="29">
                  <c:v>1.6537125466129465E-2</c:v>
                </c:pt>
                <c:pt idx="30">
                  <c:v>1.355647150605851E-2</c:v>
                </c:pt>
                <c:pt idx="31">
                  <c:v>1.1141214927629423E-2</c:v>
                </c:pt>
                <c:pt idx="32">
                  <c:v>9.1796242119791642E-3</c:v>
                </c:pt>
                <c:pt idx="33">
                  <c:v>7.5827245329236391E-3</c:v>
                </c:pt>
                <c:pt idx="34">
                  <c:v>6.2795811786069688E-3</c:v>
                </c:pt>
                <c:pt idx="35">
                  <c:v>5.2135606335075727E-3</c:v>
                </c:pt>
                <c:pt idx="36">
                  <c:v>4.3393723096952453E-3</c:v>
                </c:pt>
                <c:pt idx="37">
                  <c:v>3.6207303090899038E-3</c:v>
                </c:pt>
                <c:pt idx="38">
                  <c:v>3.0285058585438557E-3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D668-42FB-9E8A-2F523DF7952C}"/>
            </c:ext>
          </c:extLst>
        </c:ser>
        <c:ser>
          <c:idx val="3"/>
          <c:order val="3"/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Distributions!$E$470:$E$529</c:f>
              <c:numCache>
                <c:formatCode>0.00</c:formatCode>
                <c:ptCount val="60"/>
                <c:pt idx="0">
                  <c:v>0.1</c:v>
                </c:pt>
                <c:pt idx="1">
                  <c:v>0.2</c:v>
                </c:pt>
                <c:pt idx="2">
                  <c:v>0.30000000000000004</c:v>
                </c:pt>
                <c:pt idx="3">
                  <c:v>0.4</c:v>
                </c:pt>
                <c:pt idx="4">
                  <c:v>0.5</c:v>
                </c:pt>
                <c:pt idx="5">
                  <c:v>0.6</c:v>
                </c:pt>
                <c:pt idx="6">
                  <c:v>0.7</c:v>
                </c:pt>
                <c:pt idx="7">
                  <c:v>0.79999999999999993</c:v>
                </c:pt>
                <c:pt idx="8">
                  <c:v>0.89999999999999991</c:v>
                </c:pt>
                <c:pt idx="9">
                  <c:v>0.99999999999999989</c:v>
                </c:pt>
                <c:pt idx="10">
                  <c:v>1.0999999999999999</c:v>
                </c:pt>
                <c:pt idx="11">
                  <c:v>1.2</c:v>
                </c:pt>
                <c:pt idx="12">
                  <c:v>1.3</c:v>
                </c:pt>
                <c:pt idx="13">
                  <c:v>1.4000000000000001</c:v>
                </c:pt>
                <c:pt idx="14">
                  <c:v>1.5000000000000002</c:v>
                </c:pt>
                <c:pt idx="15">
                  <c:v>1.6000000000000003</c:v>
                </c:pt>
                <c:pt idx="16">
                  <c:v>1.7000000000000004</c:v>
                </c:pt>
                <c:pt idx="17">
                  <c:v>1.8000000000000005</c:v>
                </c:pt>
                <c:pt idx="18">
                  <c:v>1.9000000000000006</c:v>
                </c:pt>
                <c:pt idx="19">
                  <c:v>2.0000000000000004</c:v>
                </c:pt>
                <c:pt idx="20">
                  <c:v>2.1000000000000005</c:v>
                </c:pt>
                <c:pt idx="21">
                  <c:v>2.2000000000000006</c:v>
                </c:pt>
                <c:pt idx="22">
                  <c:v>2.3000000000000007</c:v>
                </c:pt>
                <c:pt idx="23">
                  <c:v>2.4000000000000008</c:v>
                </c:pt>
                <c:pt idx="24">
                  <c:v>2.5000000000000009</c:v>
                </c:pt>
                <c:pt idx="25">
                  <c:v>2.600000000000001</c:v>
                </c:pt>
                <c:pt idx="26">
                  <c:v>2.7000000000000011</c:v>
                </c:pt>
                <c:pt idx="27">
                  <c:v>2.8000000000000012</c:v>
                </c:pt>
                <c:pt idx="28">
                  <c:v>2.9000000000000012</c:v>
                </c:pt>
                <c:pt idx="29">
                  <c:v>3.0000000000000013</c:v>
                </c:pt>
                <c:pt idx="30">
                  <c:v>3.1000000000000014</c:v>
                </c:pt>
                <c:pt idx="31">
                  <c:v>3.2000000000000015</c:v>
                </c:pt>
                <c:pt idx="32">
                  <c:v>3.3000000000000016</c:v>
                </c:pt>
                <c:pt idx="33">
                  <c:v>3.4000000000000017</c:v>
                </c:pt>
                <c:pt idx="34">
                  <c:v>3.5000000000000018</c:v>
                </c:pt>
                <c:pt idx="35">
                  <c:v>3.6000000000000019</c:v>
                </c:pt>
                <c:pt idx="36">
                  <c:v>3.700000000000002</c:v>
                </c:pt>
                <c:pt idx="37">
                  <c:v>3.800000000000002</c:v>
                </c:pt>
                <c:pt idx="38">
                  <c:v>3.9000000000000021</c:v>
                </c:pt>
                <c:pt idx="39">
                  <c:v>4.0000000000000018</c:v>
                </c:pt>
                <c:pt idx="40">
                  <c:v>4.1000000000000014</c:v>
                </c:pt>
                <c:pt idx="41">
                  <c:v>4.2000000000000011</c:v>
                </c:pt>
                <c:pt idx="42">
                  <c:v>4.3000000000000007</c:v>
                </c:pt>
                <c:pt idx="43">
                  <c:v>4.4000000000000004</c:v>
                </c:pt>
                <c:pt idx="44">
                  <c:v>4.5</c:v>
                </c:pt>
                <c:pt idx="45">
                  <c:v>4.5999999999999996</c:v>
                </c:pt>
                <c:pt idx="46">
                  <c:v>4.6999999999999993</c:v>
                </c:pt>
                <c:pt idx="47">
                  <c:v>4.7999999999999989</c:v>
                </c:pt>
                <c:pt idx="48">
                  <c:v>4.8999999999999986</c:v>
                </c:pt>
                <c:pt idx="49">
                  <c:v>4.9999999999999982</c:v>
                </c:pt>
                <c:pt idx="50">
                  <c:v>5.0999999999999979</c:v>
                </c:pt>
                <c:pt idx="51">
                  <c:v>5.1999999999999975</c:v>
                </c:pt>
                <c:pt idx="52">
                  <c:v>5.2999999999999972</c:v>
                </c:pt>
                <c:pt idx="53">
                  <c:v>5.3999999999999968</c:v>
                </c:pt>
                <c:pt idx="54">
                  <c:v>5.4999999999999964</c:v>
                </c:pt>
                <c:pt idx="55">
                  <c:v>5.5999999999999961</c:v>
                </c:pt>
                <c:pt idx="56">
                  <c:v>5.6999999999999957</c:v>
                </c:pt>
                <c:pt idx="57">
                  <c:v>5.7999999999999954</c:v>
                </c:pt>
                <c:pt idx="58">
                  <c:v>5.899999999999995</c:v>
                </c:pt>
                <c:pt idx="59">
                  <c:v>5.9999999999999947</c:v>
                </c:pt>
              </c:numCache>
            </c:numRef>
          </c:xVal>
          <c:yVal>
            <c:numRef>
              <c:f>Distributions!$I$470:$I$529</c:f>
              <c:numCache>
                <c:formatCode>0.00</c:formatCode>
                <c:ptCount val="60"/>
                <c:pt idx="3">
                  <c:v>1.949530013692803E-4</c:v>
                </c:pt>
                <c:pt idx="4">
                  <c:v>1.1020422006739439E-2</c:v>
                </c:pt>
                <c:pt idx="5">
                  <c:v>0.13158516265610445</c:v>
                </c:pt>
                <c:pt idx="6">
                  <c:v>0.58439399051496388</c:v>
                </c:pt>
                <c:pt idx="7">
                  <c:v>1.3364501704360578</c:v>
                </c:pt>
                <c:pt idx="8">
                  <c:v>1.924494993748846</c:v>
                </c:pt>
                <c:pt idx="9">
                  <c:v>1.9897309346794583</c:v>
                </c:pt>
                <c:pt idx="10">
                  <c:v>1.6147526940985768</c:v>
                </c:pt>
                <c:pt idx="11">
                  <c:v>1.0949817794544334</c:v>
                </c:pt>
                <c:pt idx="12">
                  <c:v>0.64898488143575417</c:v>
                </c:pt>
                <c:pt idx="13">
                  <c:v>0.34749094771244504</c:v>
                </c:pt>
                <c:pt idx="14">
                  <c:v>0.17229185423079299</c:v>
                </c:pt>
                <c:pt idx="15">
                  <c:v>8.0600599396426387E-2</c:v>
                </c:pt>
                <c:pt idx="16">
                  <c:v>3.6092307604530513E-2</c:v>
                </c:pt>
                <c:pt idx="17">
                  <c:v>1.5643846080418949E-2</c:v>
                </c:pt>
                <c:pt idx="18">
                  <c:v>6.6209540711401121E-3</c:v>
                </c:pt>
                <c:pt idx="19">
                  <c:v>2.7551055016848884E-3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D668-42FB-9E8A-2F523DF795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12583904"/>
        <c:axId val="1"/>
      </c:scatterChart>
      <c:valAx>
        <c:axId val="4125839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412583904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1400" b="0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Distributions!$B$535:$B$544</c:f>
              <c:numCache>
                <c:formatCode>0.00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xVal>
          <c:yVal>
            <c:numRef>
              <c:f>Distributions!$C$535:$C$544</c:f>
              <c:numCache>
                <c:formatCode>0.00</c:formatCode>
                <c:ptCount val="10"/>
                <c:pt idx="0">
                  <c:v>10</c:v>
                </c:pt>
                <c:pt idx="1">
                  <c:v>32</c:v>
                </c:pt>
                <c:pt idx="2">
                  <c:v>45</c:v>
                </c:pt>
                <c:pt idx="3">
                  <c:v>41</c:v>
                </c:pt>
                <c:pt idx="4">
                  <c:v>29</c:v>
                </c:pt>
                <c:pt idx="5">
                  <c:v>22</c:v>
                </c:pt>
                <c:pt idx="6">
                  <c:v>18</c:v>
                </c:pt>
                <c:pt idx="7">
                  <c:v>36</c:v>
                </c:pt>
                <c:pt idx="8">
                  <c:v>40</c:v>
                </c:pt>
                <c:pt idx="9">
                  <c:v>30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5FD5-4F3E-91E4-BF2B0C80798A}"/>
            </c:ext>
          </c:extLst>
        </c:ser>
        <c:ser>
          <c:idx val="1"/>
          <c:order val="1"/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Distributions!$B$535:$B$544</c:f>
              <c:numCache>
                <c:formatCode>0.00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xVal>
          <c:yVal>
            <c:numRef>
              <c:f>Distributions!$D$535:$D$544</c:f>
              <c:numCache>
                <c:formatCode>0.00</c:formatCode>
                <c:ptCount val="10"/>
                <c:pt idx="0">
                  <c:v>1</c:v>
                </c:pt>
                <c:pt idx="1">
                  <c:v>1.505149978319906</c:v>
                </c:pt>
                <c:pt idx="2">
                  <c:v>1.6532125137753437</c:v>
                </c:pt>
                <c:pt idx="3">
                  <c:v>1.6127838567197355</c:v>
                </c:pt>
                <c:pt idx="4">
                  <c:v>1.4623979978989561</c:v>
                </c:pt>
                <c:pt idx="5">
                  <c:v>1.3424226808222062</c:v>
                </c:pt>
                <c:pt idx="6">
                  <c:v>1.255272505103306</c:v>
                </c:pt>
                <c:pt idx="7">
                  <c:v>1.5563025007672873</c:v>
                </c:pt>
                <c:pt idx="8">
                  <c:v>1.6020599913279623</c:v>
                </c:pt>
                <c:pt idx="9">
                  <c:v>1.4771212547196624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5FD5-4F3E-91E4-BF2B0C80798A}"/>
            </c:ext>
          </c:extLst>
        </c:ser>
        <c:ser>
          <c:idx val="2"/>
          <c:order val="2"/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Distributions!$B$535:$B$544</c:f>
              <c:numCache>
                <c:formatCode>0.00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xVal>
          <c:yVal>
            <c:numRef>
              <c:f>Distributions!$E$535:$E$544</c:f>
              <c:numCache>
                <c:formatCode>0.00</c:formatCode>
                <c:ptCount val="10"/>
                <c:pt idx="0">
                  <c:v>3.1622776601683795</c:v>
                </c:pt>
                <c:pt idx="1">
                  <c:v>5.6568542494923806</c:v>
                </c:pt>
                <c:pt idx="2">
                  <c:v>6.7082039324993694</c:v>
                </c:pt>
                <c:pt idx="3">
                  <c:v>6.4031242374328485</c:v>
                </c:pt>
                <c:pt idx="4">
                  <c:v>5.3851648071345037</c:v>
                </c:pt>
                <c:pt idx="5">
                  <c:v>4.6904157598234297</c:v>
                </c:pt>
                <c:pt idx="6">
                  <c:v>4.2426406871192848</c:v>
                </c:pt>
                <c:pt idx="7">
                  <c:v>6</c:v>
                </c:pt>
                <c:pt idx="8">
                  <c:v>6.324555320336759</c:v>
                </c:pt>
                <c:pt idx="9">
                  <c:v>5.4772255750516612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5FD5-4F3E-91E4-BF2B0C8079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13555984"/>
        <c:axId val="1"/>
      </c:scatterChart>
      <c:valAx>
        <c:axId val="4135559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413555984"/>
        <c:crosses val="autoZero"/>
        <c:crossBetween val="midCat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/>
        <a:lstStyle/>
        <a:p>
          <a:pPr>
            <a:defRPr sz="690" b="0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Distributions!$D$553:$D$675</c:f>
              <c:numCache>
                <c:formatCode>0.0</c:formatCode>
                <c:ptCount val="123"/>
                <c:pt idx="0">
                  <c:v>5</c:v>
                </c:pt>
                <c:pt idx="1">
                  <c:v>5.0999999999999996</c:v>
                </c:pt>
                <c:pt idx="2">
                  <c:v>5.1999999999999993</c:v>
                </c:pt>
                <c:pt idx="3">
                  <c:v>5.2999999999999989</c:v>
                </c:pt>
                <c:pt idx="4">
                  <c:v>5.3999999999999986</c:v>
                </c:pt>
                <c:pt idx="5">
                  <c:v>5.4999999999999982</c:v>
                </c:pt>
                <c:pt idx="6">
                  <c:v>5.5999999999999979</c:v>
                </c:pt>
                <c:pt idx="7">
                  <c:v>5.6999999999999975</c:v>
                </c:pt>
                <c:pt idx="8">
                  <c:v>5.7999999999999972</c:v>
                </c:pt>
                <c:pt idx="9">
                  <c:v>5.8999999999999968</c:v>
                </c:pt>
                <c:pt idx="10">
                  <c:v>5.9999999999999964</c:v>
                </c:pt>
                <c:pt idx="11">
                  <c:v>6.0999999999999961</c:v>
                </c:pt>
                <c:pt idx="12">
                  <c:v>6.1999999999999957</c:v>
                </c:pt>
                <c:pt idx="13">
                  <c:v>6.2999999999999954</c:v>
                </c:pt>
                <c:pt idx="14">
                  <c:v>6.399999999999995</c:v>
                </c:pt>
                <c:pt idx="15">
                  <c:v>6.4999999999999947</c:v>
                </c:pt>
                <c:pt idx="16">
                  <c:v>6.5999999999999943</c:v>
                </c:pt>
                <c:pt idx="17">
                  <c:v>6.699999999999994</c:v>
                </c:pt>
                <c:pt idx="18">
                  <c:v>6.7999999999999936</c:v>
                </c:pt>
                <c:pt idx="19">
                  <c:v>6.8999999999999932</c:v>
                </c:pt>
                <c:pt idx="20">
                  <c:v>6.9999999999999929</c:v>
                </c:pt>
                <c:pt idx="21">
                  <c:v>7.0999999999999925</c:v>
                </c:pt>
                <c:pt idx="22">
                  <c:v>7.1999999999999922</c:v>
                </c:pt>
                <c:pt idx="23">
                  <c:v>7.2999999999999918</c:v>
                </c:pt>
                <c:pt idx="24">
                  <c:v>7.3999999999999915</c:v>
                </c:pt>
                <c:pt idx="25">
                  <c:v>7.4999999999999911</c:v>
                </c:pt>
                <c:pt idx="26">
                  <c:v>7.5999999999999908</c:v>
                </c:pt>
                <c:pt idx="27">
                  <c:v>7.6999999999999904</c:v>
                </c:pt>
                <c:pt idx="28">
                  <c:v>7.7999999999999901</c:v>
                </c:pt>
                <c:pt idx="29">
                  <c:v>7.8999999999999897</c:v>
                </c:pt>
                <c:pt idx="30">
                  <c:v>7.9999999999999893</c:v>
                </c:pt>
                <c:pt idx="31">
                  <c:v>8.099999999999989</c:v>
                </c:pt>
                <c:pt idx="32">
                  <c:v>8.1999999999999886</c:v>
                </c:pt>
                <c:pt idx="33">
                  <c:v>8.2999999999999883</c:v>
                </c:pt>
                <c:pt idx="34">
                  <c:v>8.3999999999999879</c:v>
                </c:pt>
                <c:pt idx="35">
                  <c:v>8.4999999999999876</c:v>
                </c:pt>
                <c:pt idx="36">
                  <c:v>8.5999999999999872</c:v>
                </c:pt>
                <c:pt idx="37">
                  <c:v>8.6999999999999869</c:v>
                </c:pt>
                <c:pt idx="38">
                  <c:v>8.7999999999999865</c:v>
                </c:pt>
                <c:pt idx="39">
                  <c:v>8.8999999999999861</c:v>
                </c:pt>
                <c:pt idx="40">
                  <c:v>8.9999999999999858</c:v>
                </c:pt>
                <c:pt idx="41">
                  <c:v>9.0999999999999854</c:v>
                </c:pt>
                <c:pt idx="42">
                  <c:v>9.1999999999999851</c:v>
                </c:pt>
                <c:pt idx="43">
                  <c:v>9.2999999999999847</c:v>
                </c:pt>
                <c:pt idx="44">
                  <c:v>9.3999999999999844</c:v>
                </c:pt>
                <c:pt idx="45">
                  <c:v>9.499999999999984</c:v>
                </c:pt>
                <c:pt idx="46">
                  <c:v>9.5999999999999837</c:v>
                </c:pt>
                <c:pt idx="47">
                  <c:v>9.6999999999999833</c:v>
                </c:pt>
                <c:pt idx="48">
                  <c:v>9.7999999999999829</c:v>
                </c:pt>
                <c:pt idx="49">
                  <c:v>9.8999999999999826</c:v>
                </c:pt>
                <c:pt idx="50">
                  <c:v>9.9999999999999822</c:v>
                </c:pt>
                <c:pt idx="51">
                  <c:v>10.099999999999982</c:v>
                </c:pt>
                <c:pt idx="52">
                  <c:v>10.199999999999982</c:v>
                </c:pt>
                <c:pt idx="53">
                  <c:v>10.299999999999981</c:v>
                </c:pt>
                <c:pt idx="54">
                  <c:v>10.399999999999981</c:v>
                </c:pt>
                <c:pt idx="55">
                  <c:v>10.49999999999998</c:v>
                </c:pt>
                <c:pt idx="56">
                  <c:v>10.59999999999998</c:v>
                </c:pt>
                <c:pt idx="57">
                  <c:v>10.69999999999998</c:v>
                </c:pt>
                <c:pt idx="58">
                  <c:v>10.799999999999979</c:v>
                </c:pt>
                <c:pt idx="59">
                  <c:v>10.899999999999979</c:v>
                </c:pt>
                <c:pt idx="60">
                  <c:v>10.999999999999979</c:v>
                </c:pt>
                <c:pt idx="61">
                  <c:v>11.099999999999978</c:v>
                </c:pt>
                <c:pt idx="62">
                  <c:v>11.199999999999978</c:v>
                </c:pt>
                <c:pt idx="63">
                  <c:v>11.299999999999978</c:v>
                </c:pt>
                <c:pt idx="64">
                  <c:v>11.399999999999977</c:v>
                </c:pt>
                <c:pt idx="65">
                  <c:v>11.499999999999977</c:v>
                </c:pt>
                <c:pt idx="66">
                  <c:v>11.599999999999977</c:v>
                </c:pt>
                <c:pt idx="67">
                  <c:v>11.699999999999976</c:v>
                </c:pt>
                <c:pt idx="68">
                  <c:v>11.799999999999976</c:v>
                </c:pt>
                <c:pt idx="69">
                  <c:v>11.899999999999975</c:v>
                </c:pt>
                <c:pt idx="70">
                  <c:v>11.999999999999975</c:v>
                </c:pt>
                <c:pt idx="71">
                  <c:v>12.099999999999975</c:v>
                </c:pt>
                <c:pt idx="72">
                  <c:v>12.199999999999974</c:v>
                </c:pt>
                <c:pt idx="73">
                  <c:v>12.299999999999974</c:v>
                </c:pt>
                <c:pt idx="74">
                  <c:v>12.399999999999974</c:v>
                </c:pt>
                <c:pt idx="75">
                  <c:v>12.499999999999973</c:v>
                </c:pt>
                <c:pt idx="76">
                  <c:v>12.599999999999973</c:v>
                </c:pt>
                <c:pt idx="77">
                  <c:v>12.699999999999973</c:v>
                </c:pt>
                <c:pt idx="78">
                  <c:v>12.799999999999972</c:v>
                </c:pt>
                <c:pt idx="79">
                  <c:v>12.899999999999972</c:v>
                </c:pt>
                <c:pt idx="80">
                  <c:v>12.999999999999972</c:v>
                </c:pt>
                <c:pt idx="81">
                  <c:v>13.099999999999971</c:v>
                </c:pt>
                <c:pt idx="82">
                  <c:v>13.199999999999971</c:v>
                </c:pt>
                <c:pt idx="83">
                  <c:v>13.299999999999971</c:v>
                </c:pt>
                <c:pt idx="84">
                  <c:v>13.39999999999997</c:v>
                </c:pt>
                <c:pt idx="85">
                  <c:v>13.49999999999997</c:v>
                </c:pt>
                <c:pt idx="86">
                  <c:v>13.599999999999969</c:v>
                </c:pt>
                <c:pt idx="87">
                  <c:v>13.699999999999969</c:v>
                </c:pt>
                <c:pt idx="88">
                  <c:v>13.799999999999969</c:v>
                </c:pt>
                <c:pt idx="89">
                  <c:v>13.899999999999968</c:v>
                </c:pt>
                <c:pt idx="90">
                  <c:v>13.999999999999968</c:v>
                </c:pt>
                <c:pt idx="91">
                  <c:v>14.099999999999968</c:v>
                </c:pt>
                <c:pt idx="92">
                  <c:v>14.199999999999967</c:v>
                </c:pt>
                <c:pt idx="93">
                  <c:v>14.299999999999967</c:v>
                </c:pt>
                <c:pt idx="94">
                  <c:v>14.399999999999967</c:v>
                </c:pt>
                <c:pt idx="95">
                  <c:v>14.499999999999966</c:v>
                </c:pt>
                <c:pt idx="96">
                  <c:v>14.599999999999966</c:v>
                </c:pt>
                <c:pt idx="97">
                  <c:v>14.699999999999966</c:v>
                </c:pt>
                <c:pt idx="98">
                  <c:v>14.799999999999965</c:v>
                </c:pt>
                <c:pt idx="99">
                  <c:v>14.899999999999965</c:v>
                </c:pt>
                <c:pt idx="100">
                  <c:v>14.999999999999964</c:v>
                </c:pt>
                <c:pt idx="101">
                  <c:v>15.099999999999964</c:v>
                </c:pt>
                <c:pt idx="102">
                  <c:v>15.199999999999964</c:v>
                </c:pt>
                <c:pt idx="103">
                  <c:v>15.299999999999963</c:v>
                </c:pt>
                <c:pt idx="104">
                  <c:v>15.399999999999963</c:v>
                </c:pt>
                <c:pt idx="105">
                  <c:v>15.499999999999963</c:v>
                </c:pt>
                <c:pt idx="106">
                  <c:v>15.599999999999962</c:v>
                </c:pt>
                <c:pt idx="107">
                  <c:v>15.699999999999962</c:v>
                </c:pt>
                <c:pt idx="108">
                  <c:v>15.799999999999962</c:v>
                </c:pt>
                <c:pt idx="109">
                  <c:v>15.899999999999961</c:v>
                </c:pt>
                <c:pt idx="110">
                  <c:v>15.999999999999961</c:v>
                </c:pt>
                <c:pt idx="111">
                  <c:v>16.099999999999962</c:v>
                </c:pt>
                <c:pt idx="112">
                  <c:v>16.199999999999964</c:v>
                </c:pt>
                <c:pt idx="113">
                  <c:v>16.299999999999965</c:v>
                </c:pt>
                <c:pt idx="114">
                  <c:v>16.399999999999967</c:v>
                </c:pt>
                <c:pt idx="115">
                  <c:v>16.499999999999968</c:v>
                </c:pt>
                <c:pt idx="116">
                  <c:v>16.599999999999969</c:v>
                </c:pt>
                <c:pt idx="117">
                  <c:v>16.699999999999971</c:v>
                </c:pt>
                <c:pt idx="118">
                  <c:v>16.799999999999972</c:v>
                </c:pt>
                <c:pt idx="119">
                  <c:v>16.899999999999974</c:v>
                </c:pt>
                <c:pt idx="120">
                  <c:v>16.999999999999975</c:v>
                </c:pt>
                <c:pt idx="121">
                  <c:v>17.099999999999977</c:v>
                </c:pt>
                <c:pt idx="122">
                  <c:v>17.199999999999978</c:v>
                </c:pt>
              </c:numCache>
            </c:numRef>
          </c:xVal>
          <c:yVal>
            <c:numRef>
              <c:f>Distributions!$E$553:$E$675</c:f>
              <c:numCache>
                <c:formatCode>0.00</c:formatCode>
                <c:ptCount val="123"/>
                <c:pt idx="0">
                  <c:v>5.4982737357348315</c:v>
                </c:pt>
                <c:pt idx="1">
                  <c:v>5.8909591054996024</c:v>
                </c:pt>
                <c:pt idx="2">
                  <c:v>6.3857720388925845</c:v>
                </c:pt>
                <c:pt idx="3">
                  <c:v>6.974564341677465</c:v>
                </c:pt>
                <c:pt idx="4">
                  <c:v>7.6484219550811172</c:v>
                </c:pt>
                <c:pt idx="5">
                  <c:v>8.3977690665372311</c:v>
                </c:pt>
                <c:pt idx="6">
                  <c:v>9.2124767718155294</c:v>
                </c:pt>
                <c:pt idx="7">
                  <c:v>10.081975112730285</c:v>
                </c:pt>
                <c:pt idx="8">
                  <c:v>10.995367304178243</c:v>
                </c:pt>
                <c:pt idx="9">
                  <c:v>11.941544965871344</c:v>
                </c:pt>
                <c:pt idx="10">
                  <c:v>12.909303187548893</c:v>
                </c:pt>
                <c:pt idx="11">
                  <c:v>13.887454281309349</c:v>
                </c:pt>
                <c:pt idx="12">
                  <c:v>14.864939110518735</c:v>
                </c:pt>
                <c:pt idx="13">
                  <c:v>15.830934930956113</c:v>
                </c:pt>
                <c:pt idx="14">
                  <c:v>16.774958735779055</c:v>
                </c:pt>
                <c:pt idx="15">
                  <c:v>17.686965160782758</c:v>
                </c:pt>
                <c:pt idx="16">
                  <c:v>18.557438079458997</c:v>
                </c:pt>
                <c:pt idx="17">
                  <c:v>19.377475097645085</c:v>
                </c:pt>
                <c:pt idx="18">
                  <c:v>20.138864244142226</c:v>
                </c:pt>
                <c:pt idx="19">
                  <c:v>20.834152245587639</c:v>
                </c:pt>
                <c:pt idx="20">
                  <c:v>21.456703870061244</c:v>
                </c:pt>
                <c:pt idx="21">
                  <c:v>22.000751923350791</c:v>
                </c:pt>
                <c:pt idx="22">
                  <c:v>22.461437583429539</c:v>
                </c:pt>
                <c:pt idx="23">
                  <c:v>22.834840861460744</c:v>
                </c:pt>
                <c:pt idx="24">
                  <c:v>23.118001080483431</c:v>
                </c:pt>
                <c:pt idx="25">
                  <c:v>23.308927364824985</c:v>
                </c:pt>
                <c:pt idx="26">
                  <c:v>23.406599233229546</c:v>
                </c:pt>
                <c:pt idx="27">
                  <c:v>23.410957485726112</c:v>
                </c:pt>
                <c:pt idx="28">
                  <c:v>23.322885667475422</c:v>
                </c:pt>
                <c:pt idx="29">
                  <c:v>23.144182481374205</c:v>
                </c:pt>
                <c:pt idx="30">
                  <c:v>22.877525604266758</c:v>
                </c:pt>
                <c:pt idx="31">
                  <c:v>22.526427438496452</c:v>
                </c:pt>
                <c:pt idx="32">
                  <c:v>22.095183400576481</c:v>
                </c:pt>
                <c:pt idx="33">
                  <c:v>21.588813411407234</c:v>
                </c:pt>
                <c:pt idx="34">
                  <c:v>21.012997307235899</c:v>
                </c:pt>
                <c:pt idx="35">
                  <c:v>20.374004937052703</c:v>
                </c:pt>
                <c:pt idx="36">
                  <c:v>19.678621750045494</c:v>
                </c:pt>
                <c:pt idx="37">
                  <c:v>18.93407070588178</c:v>
                </c:pt>
                <c:pt idx="38">
                  <c:v>18.147931360836981</c:v>
                </c:pt>
                <c:pt idx="39">
                  <c:v>17.32805699411378</c:v>
                </c:pt>
                <c:pt idx="40">
                  <c:v>16.482490641163146</c:v>
                </c:pt>
                <c:pt idx="41">
                  <c:v>15.61938089457438</c:v>
                </c:pt>
                <c:pt idx="42">
                  <c:v>14.746898318383218</c:v>
                </c:pt>
                <c:pt idx="43">
                  <c:v>13.873153298769557</c:v>
                </c:pt>
                <c:pt idx="44">
                  <c:v>13.006116123469193</c:v>
                </c:pt>
                <c:pt idx="45">
                  <c:v>12.153540044267107</c:v>
                </c:pt>
                <c:pt idx="46">
                  <c:v>11.322888032197998</c:v>
                </c:pt>
                <c:pt idx="47">
                  <c:v>10.521263884133244</c:v>
                </c:pt>
                <c:pt idx="48">
                  <c:v>9.7553482829152163</c:v>
                </c:pt>
                <c:pt idx="49">
                  <c:v>9.0313403517840776</c:v>
                </c:pt>
                <c:pt idx="50">
                  <c:v>8.3549051782399903</c:v>
                </c:pt>
                <c:pt idx="51">
                  <c:v>7.7311277134330627</c:v>
                </c:pt>
                <c:pt idx="52">
                  <c:v>7.1644733814327566</c:v>
                </c:pt>
                <c:pt idx="53">
                  <c:v>6.6587556590678147</c:v>
                </c:pt>
                <c:pt idx="54">
                  <c:v>6.2171108122210894</c:v>
                </c:pt>
                <c:pt idx="55">
                  <c:v>5.8419798992809051</c:v>
                </c:pt>
                <c:pt idx="56">
                  <c:v>5.5350980776506953</c:v>
                </c:pt>
                <c:pt idx="57">
                  <c:v>5.2974911755410234</c:v>
                </c:pt>
                <c:pt idx="58">
                  <c:v>5.1294794194269082</c:v>
                </c:pt>
                <c:pt idx="59">
                  <c:v>5.0306881382299231</c:v>
                </c:pt>
                <c:pt idx="60">
                  <c:v>5.0000651991216092</c:v>
                </c:pt>
                <c:pt idx="61">
                  <c:v>5.0359048674408262</c:v>
                </c:pt>
                <c:pt idx="62">
                  <c:v>5.1358777251218415</c:v>
                </c:pt>
                <c:pt idx="63">
                  <c:v>5.2970662287372763</c:v>
                </c:pt>
                <c:pt idx="64">
                  <c:v>5.5160054402079925</c:v>
                </c:pt>
                <c:pt idx="65">
                  <c:v>5.788728420796784</c:v>
                </c:pt>
                <c:pt idx="66">
                  <c:v>6.1108157424972136</c:v>
                </c:pt>
                <c:pt idx="67">
                  <c:v>6.4774485406003635</c:v>
                </c:pt>
                <c:pt idx="68">
                  <c:v>6.883464507251384</c:v>
                </c:pt>
                <c:pt idx="69">
                  <c:v>7.32341620830812</c:v>
                </c:pt>
                <c:pt idx="70">
                  <c:v>7.7916310948324901</c:v>
                </c:pt>
                <c:pt idx="71">
                  <c:v>8.2822725760623239</c:v>
                </c:pt>
                <c:pt idx="72">
                  <c:v>8.7894015226431819</c:v>
                </c:pt>
                <c:pt idx="73">
                  <c:v>9.3070375770998481</c:v>
                </c:pt>
                <c:pt idx="74">
                  <c:v>9.8292196627898658</c:v>
                </c:pt>
                <c:pt idx="75">
                  <c:v>10.350065102643901</c:v>
                </c:pt>
                <c:pt idx="76">
                  <c:v>10.863826784544619</c:v>
                </c:pt>
                <c:pt idx="77">
                  <c:v>11.364947840863596</c:v>
                </c:pt>
                <c:pt idx="78">
                  <c:v>11.848113345056209</c:v>
                </c:pt>
                <c:pt idx="79">
                  <c:v>12.308298567861124</c:v>
                </c:pt>
                <c:pt idx="80">
                  <c:v>12.740813379083182</c:v>
                </c:pt>
                <c:pt idx="81">
                  <c:v>13.141342427647054</c:v>
                </c:pt>
                <c:pt idx="82">
                  <c:v>13.505980782062837</c:v>
                </c:pt>
                <c:pt idx="83">
                  <c:v>13.831264765095025</c:v>
                </c:pt>
                <c:pt idx="84">
                  <c:v>14.114197769713495</c:v>
                </c:pt>
                <c:pt idx="85">
                  <c:v>14.352270897764777</c:v>
                </c:pt>
                <c:pt idx="86">
                  <c:v>14.543478317668974</c:v>
                </c:pt>
                <c:pt idx="87">
                  <c:v>14.686327292264849</c:v>
                </c:pt>
                <c:pt idx="88">
                  <c:v>14.779842882145232</c:v>
                </c:pt>
                <c:pt idx="89">
                  <c:v>14.823567382917764</c:v>
                </c:pt>
                <c:pt idx="90">
                  <c:v>14.8175546062837</c:v>
                </c:pt>
                <c:pt idx="91">
                  <c:v>14.762359164168187</c:v>
                </c:pt>
                <c:pt idx="92">
                  <c:v>14.659020961908277</c:v>
                </c:pt>
                <c:pt idx="93">
                  <c:v>14.509045150293355</c:v>
                </c:pt>
                <c:pt idx="94">
                  <c:v>14.314377826678138</c:v>
                </c:pt>
                <c:pt idx="95">
                  <c:v>14.077377812113879</c:v>
                </c:pt>
                <c:pt idx="96">
                  <c:v>13.800784864174977</c:v>
                </c:pt>
                <c:pt idx="97">
                  <c:v>13.487684713648056</c:v>
                </c:pt>
                <c:pt idx="98">
                  <c:v>13.141471337297952</c:v>
                </c:pt>
                <c:pt idx="99">
                  <c:v>12.765806898377857</c:v>
                </c:pt>
                <c:pt idx="100">
                  <c:v>12.364579801305425</c:v>
                </c:pt>
                <c:pt idx="101">
                  <c:v>11.941861316928794</c:v>
                </c:pt>
                <c:pt idx="102">
                  <c:v>11.501861240050408</c:v>
                </c:pt>
                <c:pt idx="103">
                  <c:v>11.048883041403755</c:v>
                </c:pt>
                <c:pt idx="104">
                  <c:v>10.58727897217732</c:v>
                </c:pt>
                <c:pt idx="105">
                  <c:v>10.121405570583175</c:v>
                </c:pt>
                <c:pt idx="106">
                  <c:v>9.6555800070502364</c:v>
                </c:pt>
                <c:pt idx="107">
                  <c:v>9.1940376875983354</c:v>
                </c:pt>
                <c:pt idx="108">
                  <c:v>8.7408915140708796</c:v>
                </c:pt>
                <c:pt idx="109">
                  <c:v>8.3000931754553235</c:v>
                </c:pt>
                <c:pt idx="110">
                  <c:v>7.8753968168174833</c:v>
                </c:pt>
                <c:pt idx="111">
                  <c:v>7.4703254017586289</c:v>
                </c:pt>
                <c:pt idx="112">
                  <c:v>7.088140051137354</c:v>
                </c:pt>
                <c:pt idx="113">
                  <c:v>6.7318126054628458</c:v>
                </c:pt>
                <c:pt idx="114">
                  <c:v>6.4040016212588267</c:v>
                </c:pt>
                <c:pt idx="115">
                  <c:v>6.1070319732235268</c:v>
                </c:pt>
                <c:pt idx="116">
                  <c:v>5.842878194582287</c:v>
                </c:pt>
                <c:pt idx="117">
                  <c:v>5.6131516480585866</c:v>
                </c:pt>
                <c:pt idx="118">
                  <c:v>5.4190915797864587</c:v>
                </c:pt>
                <c:pt idx="119">
                  <c:v>5.2615600686557853</c:v>
                </c:pt>
                <c:pt idx="120">
                  <c:v>5.1410408444143627</c:v>
                </c:pt>
                <c:pt idx="121">
                  <c:v>5.0576419097251835</c:v>
                </c:pt>
                <c:pt idx="122">
                  <c:v>5.0111018646542345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8008-4DD2-96AA-B8E910D19D05}"/>
            </c:ext>
          </c:extLst>
        </c:ser>
        <c:ser>
          <c:idx val="1"/>
          <c:order val="1"/>
          <c:spPr>
            <a:ln w="1905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xVal>
            <c:numRef>
              <c:f>Distributions!$D$553:$D$675</c:f>
              <c:numCache>
                <c:formatCode>0.0</c:formatCode>
                <c:ptCount val="123"/>
                <c:pt idx="0">
                  <c:v>5</c:v>
                </c:pt>
                <c:pt idx="1">
                  <c:v>5.0999999999999996</c:v>
                </c:pt>
                <c:pt idx="2">
                  <c:v>5.1999999999999993</c:v>
                </c:pt>
                <c:pt idx="3">
                  <c:v>5.2999999999999989</c:v>
                </c:pt>
                <c:pt idx="4">
                  <c:v>5.3999999999999986</c:v>
                </c:pt>
                <c:pt idx="5">
                  <c:v>5.4999999999999982</c:v>
                </c:pt>
                <c:pt idx="6">
                  <c:v>5.5999999999999979</c:v>
                </c:pt>
                <c:pt idx="7">
                  <c:v>5.6999999999999975</c:v>
                </c:pt>
                <c:pt idx="8">
                  <c:v>5.7999999999999972</c:v>
                </c:pt>
                <c:pt idx="9">
                  <c:v>5.8999999999999968</c:v>
                </c:pt>
                <c:pt idx="10">
                  <c:v>5.9999999999999964</c:v>
                </c:pt>
                <c:pt idx="11">
                  <c:v>6.0999999999999961</c:v>
                </c:pt>
                <c:pt idx="12">
                  <c:v>6.1999999999999957</c:v>
                </c:pt>
                <c:pt idx="13">
                  <c:v>6.2999999999999954</c:v>
                </c:pt>
                <c:pt idx="14">
                  <c:v>6.399999999999995</c:v>
                </c:pt>
                <c:pt idx="15">
                  <c:v>6.4999999999999947</c:v>
                </c:pt>
                <c:pt idx="16">
                  <c:v>6.5999999999999943</c:v>
                </c:pt>
                <c:pt idx="17">
                  <c:v>6.699999999999994</c:v>
                </c:pt>
                <c:pt idx="18">
                  <c:v>6.7999999999999936</c:v>
                </c:pt>
                <c:pt idx="19">
                  <c:v>6.8999999999999932</c:v>
                </c:pt>
                <c:pt idx="20">
                  <c:v>6.9999999999999929</c:v>
                </c:pt>
                <c:pt idx="21">
                  <c:v>7.0999999999999925</c:v>
                </c:pt>
                <c:pt idx="22">
                  <c:v>7.1999999999999922</c:v>
                </c:pt>
                <c:pt idx="23">
                  <c:v>7.2999999999999918</c:v>
                </c:pt>
                <c:pt idx="24">
                  <c:v>7.3999999999999915</c:v>
                </c:pt>
                <c:pt idx="25">
                  <c:v>7.4999999999999911</c:v>
                </c:pt>
                <c:pt idx="26">
                  <c:v>7.5999999999999908</c:v>
                </c:pt>
                <c:pt idx="27">
                  <c:v>7.6999999999999904</c:v>
                </c:pt>
                <c:pt idx="28">
                  <c:v>7.7999999999999901</c:v>
                </c:pt>
                <c:pt idx="29">
                  <c:v>7.8999999999999897</c:v>
                </c:pt>
                <c:pt idx="30">
                  <c:v>7.9999999999999893</c:v>
                </c:pt>
                <c:pt idx="31">
                  <c:v>8.099999999999989</c:v>
                </c:pt>
                <c:pt idx="32">
                  <c:v>8.1999999999999886</c:v>
                </c:pt>
                <c:pt idx="33">
                  <c:v>8.2999999999999883</c:v>
                </c:pt>
                <c:pt idx="34">
                  <c:v>8.3999999999999879</c:v>
                </c:pt>
                <c:pt idx="35">
                  <c:v>8.4999999999999876</c:v>
                </c:pt>
                <c:pt idx="36">
                  <c:v>8.5999999999999872</c:v>
                </c:pt>
                <c:pt idx="37">
                  <c:v>8.6999999999999869</c:v>
                </c:pt>
                <c:pt idx="38">
                  <c:v>8.7999999999999865</c:v>
                </c:pt>
                <c:pt idx="39">
                  <c:v>8.8999999999999861</c:v>
                </c:pt>
                <c:pt idx="40">
                  <c:v>8.9999999999999858</c:v>
                </c:pt>
                <c:pt idx="41">
                  <c:v>9.0999999999999854</c:v>
                </c:pt>
                <c:pt idx="42">
                  <c:v>9.1999999999999851</c:v>
                </c:pt>
                <c:pt idx="43">
                  <c:v>9.2999999999999847</c:v>
                </c:pt>
                <c:pt idx="44">
                  <c:v>9.3999999999999844</c:v>
                </c:pt>
                <c:pt idx="45">
                  <c:v>9.499999999999984</c:v>
                </c:pt>
                <c:pt idx="46">
                  <c:v>9.5999999999999837</c:v>
                </c:pt>
                <c:pt idx="47">
                  <c:v>9.6999999999999833</c:v>
                </c:pt>
                <c:pt idx="48">
                  <c:v>9.7999999999999829</c:v>
                </c:pt>
                <c:pt idx="49">
                  <c:v>9.8999999999999826</c:v>
                </c:pt>
                <c:pt idx="50">
                  <c:v>9.9999999999999822</c:v>
                </c:pt>
                <c:pt idx="51">
                  <c:v>10.099999999999982</c:v>
                </c:pt>
                <c:pt idx="52">
                  <c:v>10.199999999999982</c:v>
                </c:pt>
                <c:pt idx="53">
                  <c:v>10.299999999999981</c:v>
                </c:pt>
                <c:pt idx="54">
                  <c:v>10.399999999999981</c:v>
                </c:pt>
                <c:pt idx="55">
                  <c:v>10.49999999999998</c:v>
                </c:pt>
                <c:pt idx="56">
                  <c:v>10.59999999999998</c:v>
                </c:pt>
                <c:pt idx="57">
                  <c:v>10.69999999999998</c:v>
                </c:pt>
                <c:pt idx="58">
                  <c:v>10.799999999999979</c:v>
                </c:pt>
                <c:pt idx="59">
                  <c:v>10.899999999999979</c:v>
                </c:pt>
                <c:pt idx="60">
                  <c:v>10.999999999999979</c:v>
                </c:pt>
                <c:pt idx="61">
                  <c:v>11.099999999999978</c:v>
                </c:pt>
                <c:pt idx="62">
                  <c:v>11.199999999999978</c:v>
                </c:pt>
                <c:pt idx="63">
                  <c:v>11.299999999999978</c:v>
                </c:pt>
                <c:pt idx="64">
                  <c:v>11.399999999999977</c:v>
                </c:pt>
                <c:pt idx="65">
                  <c:v>11.499999999999977</c:v>
                </c:pt>
                <c:pt idx="66">
                  <c:v>11.599999999999977</c:v>
                </c:pt>
                <c:pt idx="67">
                  <c:v>11.699999999999976</c:v>
                </c:pt>
                <c:pt idx="68">
                  <c:v>11.799999999999976</c:v>
                </c:pt>
                <c:pt idx="69">
                  <c:v>11.899999999999975</c:v>
                </c:pt>
                <c:pt idx="70">
                  <c:v>11.999999999999975</c:v>
                </c:pt>
                <c:pt idx="71">
                  <c:v>12.099999999999975</c:v>
                </c:pt>
                <c:pt idx="72">
                  <c:v>12.199999999999974</c:v>
                </c:pt>
                <c:pt idx="73">
                  <c:v>12.299999999999974</c:v>
                </c:pt>
                <c:pt idx="74">
                  <c:v>12.399999999999974</c:v>
                </c:pt>
                <c:pt idx="75">
                  <c:v>12.499999999999973</c:v>
                </c:pt>
                <c:pt idx="76">
                  <c:v>12.599999999999973</c:v>
                </c:pt>
                <c:pt idx="77">
                  <c:v>12.699999999999973</c:v>
                </c:pt>
                <c:pt idx="78">
                  <c:v>12.799999999999972</c:v>
                </c:pt>
                <c:pt idx="79">
                  <c:v>12.899999999999972</c:v>
                </c:pt>
                <c:pt idx="80">
                  <c:v>12.999999999999972</c:v>
                </c:pt>
                <c:pt idx="81">
                  <c:v>13.099999999999971</c:v>
                </c:pt>
                <c:pt idx="82">
                  <c:v>13.199999999999971</c:v>
                </c:pt>
                <c:pt idx="83">
                  <c:v>13.299999999999971</c:v>
                </c:pt>
                <c:pt idx="84">
                  <c:v>13.39999999999997</c:v>
                </c:pt>
                <c:pt idx="85">
                  <c:v>13.49999999999997</c:v>
                </c:pt>
                <c:pt idx="86">
                  <c:v>13.599999999999969</c:v>
                </c:pt>
                <c:pt idx="87">
                  <c:v>13.699999999999969</c:v>
                </c:pt>
                <c:pt idx="88">
                  <c:v>13.799999999999969</c:v>
                </c:pt>
                <c:pt idx="89">
                  <c:v>13.899999999999968</c:v>
                </c:pt>
                <c:pt idx="90">
                  <c:v>13.999999999999968</c:v>
                </c:pt>
                <c:pt idx="91">
                  <c:v>14.099999999999968</c:v>
                </c:pt>
                <c:pt idx="92">
                  <c:v>14.199999999999967</c:v>
                </c:pt>
                <c:pt idx="93">
                  <c:v>14.299999999999967</c:v>
                </c:pt>
                <c:pt idx="94">
                  <c:v>14.399999999999967</c:v>
                </c:pt>
                <c:pt idx="95">
                  <c:v>14.499999999999966</c:v>
                </c:pt>
                <c:pt idx="96">
                  <c:v>14.599999999999966</c:v>
                </c:pt>
                <c:pt idx="97">
                  <c:v>14.699999999999966</c:v>
                </c:pt>
                <c:pt idx="98">
                  <c:v>14.799999999999965</c:v>
                </c:pt>
                <c:pt idx="99">
                  <c:v>14.899999999999965</c:v>
                </c:pt>
                <c:pt idx="100">
                  <c:v>14.999999999999964</c:v>
                </c:pt>
                <c:pt idx="101">
                  <c:v>15.099999999999964</c:v>
                </c:pt>
                <c:pt idx="102">
                  <c:v>15.199999999999964</c:v>
                </c:pt>
                <c:pt idx="103">
                  <c:v>15.299999999999963</c:v>
                </c:pt>
                <c:pt idx="104">
                  <c:v>15.399999999999963</c:v>
                </c:pt>
                <c:pt idx="105">
                  <c:v>15.499999999999963</c:v>
                </c:pt>
                <c:pt idx="106">
                  <c:v>15.599999999999962</c:v>
                </c:pt>
                <c:pt idx="107">
                  <c:v>15.699999999999962</c:v>
                </c:pt>
                <c:pt idx="108">
                  <c:v>15.799999999999962</c:v>
                </c:pt>
                <c:pt idx="109">
                  <c:v>15.899999999999961</c:v>
                </c:pt>
                <c:pt idx="110">
                  <c:v>15.999999999999961</c:v>
                </c:pt>
                <c:pt idx="111">
                  <c:v>16.099999999999962</c:v>
                </c:pt>
                <c:pt idx="112">
                  <c:v>16.199999999999964</c:v>
                </c:pt>
                <c:pt idx="113">
                  <c:v>16.299999999999965</c:v>
                </c:pt>
                <c:pt idx="114">
                  <c:v>16.399999999999967</c:v>
                </c:pt>
                <c:pt idx="115">
                  <c:v>16.499999999999968</c:v>
                </c:pt>
                <c:pt idx="116">
                  <c:v>16.599999999999969</c:v>
                </c:pt>
                <c:pt idx="117">
                  <c:v>16.699999999999971</c:v>
                </c:pt>
                <c:pt idx="118">
                  <c:v>16.799999999999972</c:v>
                </c:pt>
                <c:pt idx="119">
                  <c:v>16.899999999999974</c:v>
                </c:pt>
                <c:pt idx="120">
                  <c:v>16.999999999999975</c:v>
                </c:pt>
                <c:pt idx="121">
                  <c:v>17.099999999999977</c:v>
                </c:pt>
                <c:pt idx="122">
                  <c:v>17.199999999999978</c:v>
                </c:pt>
              </c:numCache>
            </c:numRef>
          </c:xVal>
          <c:yVal>
            <c:numRef>
              <c:f>Distributions!$F$553:$F$675</c:f>
              <c:numCache>
                <c:formatCode>0.00</c:formatCode>
                <c:ptCount val="123"/>
                <c:pt idx="0">
                  <c:v>0.74022635772639744</c:v>
                </c:pt>
                <c:pt idx="1">
                  <c:v>0.77018600791380565</c:v>
                </c:pt>
                <c:pt idx="2">
                  <c:v>0.8052134109121446</c:v>
                </c:pt>
                <c:pt idx="3">
                  <c:v>0.84351708507616463</c:v>
                </c:pt>
                <c:pt idx="4">
                  <c:v>0.88357183948095164</c:v>
                </c:pt>
                <c:pt idx="5">
                  <c:v>0.92416392763610111</c:v>
                </c:pt>
                <c:pt idx="6">
                  <c:v>0.96437640584566331</c:v>
                </c:pt>
                <c:pt idx="7">
                  <c:v>1.0035456210512246</c:v>
                </c:pt>
                <c:pt idx="8">
                  <c:v>1.0412097417016641</c:v>
                </c:pt>
                <c:pt idx="9">
                  <c:v>1.0770605183131661</c:v>
                </c:pt>
                <c:pt idx="10">
                  <c:v>1.1109028007505659</c:v>
                </c:pt>
                <c:pt idx="11">
                  <c:v>1.1426226422165926</c:v>
                </c:pt>
                <c:pt idx="12">
                  <c:v>1.1721631345957915</c:v>
                </c:pt>
                <c:pt idx="13">
                  <c:v>1.1995065638431079</c:v>
                </c:pt>
                <c:pt idx="14">
                  <c:v>1.2246614605342936</c:v>
                </c:pt>
                <c:pt idx="15">
                  <c:v>1.2476533203605118</c:v>
                </c:pt>
                <c:pt idx="16">
                  <c:v>1.2685180201182082</c:v>
                </c:pt>
                <c:pt idx="17">
                  <c:v>1.2872971874413832</c:v>
                </c:pt>
                <c:pt idx="18">
                  <c:v>1.3040349743402235</c:v>
                </c:pt>
                <c:pt idx="19">
                  <c:v>1.3187758334444208</c:v>
                </c:pt>
                <c:pt idx="20">
                  <c:v>1.3315630074253841</c:v>
                </c:pt>
                <c:pt idx="21">
                  <c:v>1.3424375240304616</c:v>
                </c:pt>
                <c:pt idx="22">
                  <c:v>1.3514375486561103</c:v>
                </c:pt>
                <c:pt idx="23">
                  <c:v>1.3585979893071409</c:v>
                </c:pt>
                <c:pt idx="24">
                  <c:v>1.3639502796945935</c:v>
                </c:pt>
                <c:pt idx="25">
                  <c:v>1.3675222885246097</c:v>
                </c:pt>
                <c:pt idx="26">
                  <c:v>1.3693383192271653</c:v>
                </c:pt>
                <c:pt idx="27">
                  <c:v>1.3694191762879826</c:v>
                </c:pt>
                <c:pt idx="28">
                  <c:v>1.3677822833051974</c:v>
                </c:pt>
                <c:pt idx="29">
                  <c:v>1.3644418448682984</c:v>
                </c:pt>
                <c:pt idx="30">
                  <c:v>1.3594090500805462</c:v>
                </c:pt>
                <c:pt idx="31">
                  <c:v>1.3526923205842971</c:v>
                </c:pt>
                <c:pt idx="32">
                  <c:v>1.3442976107649234</c:v>
                </c:pt>
                <c:pt idx="33">
                  <c:v>1.3342287728094548</c:v>
                </c:pt>
                <c:pt idx="34">
                  <c:v>1.3224880048643082</c:v>
                </c:pt>
                <c:pt idx="35">
                  <c:v>1.309076407061091</c:v>
                </c:pt>
                <c:pt idx="36">
                  <c:v>1.2939946780734422</c:v>
                </c:pt>
                <c:pt idx="37">
                  <c:v>1.2772439945790217</c:v>
                </c:pt>
                <c:pt idx="38">
                  <c:v>1.2588271280071313</c:v>
                </c:pt>
                <c:pt idx="39">
                  <c:v>1.238749867731638</c:v>
                </c:pt>
                <c:pt idx="40">
                  <c:v>1.2170228378213306</c:v>
                </c:pt>
                <c:pt idx="41">
                  <c:v>1.1936638157513537</c:v>
                </c:pt>
                <c:pt idx="42">
                  <c:v>1.1687006857473257</c:v>
                </c:pt>
                <c:pt idx="43">
                  <c:v>1.1421751852699586</c:v>
                </c:pt>
                <c:pt idx="44">
                  <c:v>1.1141476272327557</c:v>
                </c:pt>
                <c:pt idx="45">
                  <c:v>1.0847027962686124</c:v>
                </c:pt>
                <c:pt idx="46">
                  <c:v>1.0539572127601429</c:v>
                </c:pt>
                <c:pt idx="47">
                  <c:v>1.0220679132906176</c:v>
                </c:pt>
                <c:pt idx="48">
                  <c:v>0.98924277907631974</c:v>
                </c:pt>
                <c:pt idx="49">
                  <c:v>0.95575220924881898</c:v>
                </c:pt>
                <c:pt idx="50">
                  <c:v>0.92194152534840246</c:v>
                </c:pt>
                <c:pt idx="51">
                  <c:v>0.888242847605209</c:v>
                </c:pt>
                <c:pt idx="52">
                  <c:v>0.85518427345728609</c:v>
                </c:pt>
                <c:pt idx="53">
                  <c:v>0.82339307888631652</c:v>
                </c:pt>
                <c:pt idx="54">
                  <c:v>0.79358860819287169</c:v>
                </c:pt>
                <c:pt idx="55">
                  <c:v>0.76656005834680796</c:v>
                </c:pt>
                <c:pt idx="56">
                  <c:v>0.74312532064475445</c:v>
                </c:pt>
                <c:pt idx="57">
                  <c:v>0.72407024194403435</c:v>
                </c:pt>
                <c:pt idx="58">
                  <c:v>0.71007329167275934</c:v>
                </c:pt>
                <c:pt idx="59">
                  <c:v>0.70162739543271324</c:v>
                </c:pt>
                <c:pt idx="60">
                  <c:v>0.698975667422844</c:v>
                </c:pt>
                <c:pt idx="61">
                  <c:v>0.70207751731832313</c:v>
                </c:pt>
                <c:pt idx="62">
                  <c:v>0.7106146755092011</c:v>
                </c:pt>
                <c:pt idx="63">
                  <c:v>0.72403540291395008</c:v>
                </c:pt>
                <c:pt idx="64">
                  <c:v>0.74162468583070595</c:v>
                </c:pt>
                <c:pt idx="65">
                  <c:v>0.76258317504339246</c:v>
                </c:pt>
                <c:pt idx="66">
                  <c:v>0.78609918877249607</c:v>
                </c:pt>
                <c:pt idx="67">
                  <c:v>0.81140397146533805</c:v>
                </c:pt>
                <c:pt idx="68">
                  <c:v>0.83780707743246285</c:v>
                </c:pt>
                <c:pt idx="69">
                  <c:v>0.86471371689460097</c:v>
                </c:pt>
                <c:pt idx="70">
                  <c:v>0.89162838210576245</c:v>
                </c:pt>
                <c:pt idx="71">
                  <c:v>0.91814951937232203</c:v>
                </c:pt>
                <c:pt idx="72">
                  <c:v>0.94395930462299449</c:v>
                </c:pt>
                <c:pt idx="73">
                  <c:v>0.96881146737736501</c:v>
                </c:pt>
                <c:pt idx="74">
                  <c:v>0.99251904076230513</c:v>
                </c:pt>
                <c:pt idx="75">
                  <c:v>1.0149430815446352</c:v>
                </c:pt>
                <c:pt idx="76">
                  <c:v>1.0359828324964262</c:v>
                </c:pt>
                <c:pt idx="77">
                  <c:v>1.0555674468821861</c:v>
                </c:pt>
                <c:pt idx="78">
                  <c:v>1.0736492002141147</c:v>
                </c:pt>
                <c:pt idx="79">
                  <c:v>1.0901980225771968</c:v>
                </c:pt>
                <c:pt idx="80">
                  <c:v>1.1051971544335224</c:v>
                </c:pt>
                <c:pt idx="81">
                  <c:v>1.118639731977217</c:v>
                </c:pt>
                <c:pt idx="82">
                  <c:v>1.1305261274180745</c:v>
                </c:pt>
                <c:pt idx="83">
                  <c:v>1.1408618948878444</c:v>
                </c:pt>
                <c:pt idx="84">
                  <c:v>1.1496561985234732</c:v>
                </c:pt>
                <c:pt idx="85">
                  <c:v>1.1569206230449225</c:v>
                </c:pt>
                <c:pt idx="86">
                  <c:v>1.1626682877823817</c:v>
                </c:pt>
                <c:pt idx="87">
                  <c:v>1.1669132024528075</c:v>
                </c:pt>
                <c:pt idx="88">
                  <c:v>1.1696698172942588</c:v>
                </c:pt>
                <c:pt idx="89">
                  <c:v>1.1709527318671555</c:v>
                </c:pt>
                <c:pt idx="90">
                  <c:v>1.1707765363945375</c:v>
                </c:pt>
                <c:pt idx="91">
                  <c:v>1.1691557673859154</c:v>
                </c:pt>
                <c:pt idx="92">
                  <c:v>1.1661049658686022</c:v>
                </c:pt>
                <c:pt idx="93">
                  <c:v>1.1616388321755911</c:v>
                </c:pt>
                <c:pt idx="94">
                  <c:v>1.1557724761918726</c:v>
                </c:pt>
                <c:pt idx="95">
                  <c:v>1.1485217664690937</c:v>
                </c:pt>
                <c:pt idx="96">
                  <c:v>1.1399037858568501</c:v>
                </c:pt>
                <c:pt idx="97">
                  <c:v>1.1299374053883739</c:v>
                </c:pt>
                <c:pt idx="98">
                  <c:v>1.1186439921565532</c:v>
                </c:pt>
                <c:pt idx="99">
                  <c:v>1.1060482708000989</c:v>
                </c:pt>
                <c:pt idx="100">
                  <c:v>1.092179361855812</c:v>
                </c:pt>
                <c:pt idx="101">
                  <c:v>1.0770720233319204</c:v>
                </c:pt>
                <c:pt idx="102">
                  <c:v>1.0607681239082092</c:v>
                </c:pt>
                <c:pt idx="103">
                  <c:v>1.0433183763493239</c:v>
                </c:pt>
                <c:pt idx="104">
                  <c:v>1.0247843567823789</c:v>
                </c:pt>
                <c:pt idx="105">
                  <c:v>1.0052408276382259</c:v>
                </c:pt>
                <c:pt idx="106">
                  <c:v>0.98477836680476061</c:v>
                </c:pt>
                <c:pt idx="107">
                  <c:v>0.96350627964949276</c:v>
                </c:pt>
                <c:pt idx="108">
                  <c:v>0.94155573010533533</c:v>
                </c:pt>
                <c:pt idx="109">
                  <c:v>0.91908296772052755</c:v>
                </c:pt>
                <c:pt idx="110">
                  <c:v>0.89627244576479548</c:v>
                </c:pt>
                <c:pt idx="111">
                  <c:v>0.87333951976857538</c:v>
                </c:pt>
                <c:pt idx="112">
                  <c:v>0.85053228997877461</c:v>
                </c:pt>
                <c:pt idx="113">
                  <c:v>0.82813201794755187</c:v>
                </c:pt>
                <c:pt idx="114">
                  <c:v>0.80645143319474388</c:v>
                </c:pt>
                <c:pt idx="115">
                  <c:v>0.78583019374045326</c:v>
                </c:pt>
                <c:pt idx="116">
                  <c:v>0.76662683274665855</c:v>
                </c:pt>
                <c:pt idx="117">
                  <c:v>0.74920677552189452</c:v>
                </c:pt>
                <c:pt idx="118">
                  <c:v>0.7339264904218471</c:v>
                </c:pt>
                <c:pt idx="119">
                  <c:v>0.7211145328902272</c:v>
                </c:pt>
                <c:pt idx="120">
                  <c:v>0.71105105425281678</c:v>
                </c:pt>
                <c:pt idx="121">
                  <c:v>0.70394807725518771</c:v>
                </c:pt>
                <c:pt idx="122">
                  <c:v>0.69993323108164829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8008-4DD2-96AA-B8E910D19D05}"/>
            </c:ext>
          </c:extLst>
        </c:ser>
        <c:ser>
          <c:idx val="2"/>
          <c:order val="2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Distributions!$D$553:$D$675</c:f>
              <c:numCache>
                <c:formatCode>0.0</c:formatCode>
                <c:ptCount val="123"/>
                <c:pt idx="0">
                  <c:v>5</c:v>
                </c:pt>
                <c:pt idx="1">
                  <c:v>5.0999999999999996</c:v>
                </c:pt>
                <c:pt idx="2">
                  <c:v>5.1999999999999993</c:v>
                </c:pt>
                <c:pt idx="3">
                  <c:v>5.2999999999999989</c:v>
                </c:pt>
                <c:pt idx="4">
                  <c:v>5.3999999999999986</c:v>
                </c:pt>
                <c:pt idx="5">
                  <c:v>5.4999999999999982</c:v>
                </c:pt>
                <c:pt idx="6">
                  <c:v>5.5999999999999979</c:v>
                </c:pt>
                <c:pt idx="7">
                  <c:v>5.6999999999999975</c:v>
                </c:pt>
                <c:pt idx="8">
                  <c:v>5.7999999999999972</c:v>
                </c:pt>
                <c:pt idx="9">
                  <c:v>5.8999999999999968</c:v>
                </c:pt>
                <c:pt idx="10">
                  <c:v>5.9999999999999964</c:v>
                </c:pt>
                <c:pt idx="11">
                  <c:v>6.0999999999999961</c:v>
                </c:pt>
                <c:pt idx="12">
                  <c:v>6.1999999999999957</c:v>
                </c:pt>
                <c:pt idx="13">
                  <c:v>6.2999999999999954</c:v>
                </c:pt>
                <c:pt idx="14">
                  <c:v>6.399999999999995</c:v>
                </c:pt>
                <c:pt idx="15">
                  <c:v>6.4999999999999947</c:v>
                </c:pt>
                <c:pt idx="16">
                  <c:v>6.5999999999999943</c:v>
                </c:pt>
                <c:pt idx="17">
                  <c:v>6.699999999999994</c:v>
                </c:pt>
                <c:pt idx="18">
                  <c:v>6.7999999999999936</c:v>
                </c:pt>
                <c:pt idx="19">
                  <c:v>6.8999999999999932</c:v>
                </c:pt>
                <c:pt idx="20">
                  <c:v>6.9999999999999929</c:v>
                </c:pt>
                <c:pt idx="21">
                  <c:v>7.0999999999999925</c:v>
                </c:pt>
                <c:pt idx="22">
                  <c:v>7.1999999999999922</c:v>
                </c:pt>
                <c:pt idx="23">
                  <c:v>7.2999999999999918</c:v>
                </c:pt>
                <c:pt idx="24">
                  <c:v>7.3999999999999915</c:v>
                </c:pt>
                <c:pt idx="25">
                  <c:v>7.4999999999999911</c:v>
                </c:pt>
                <c:pt idx="26">
                  <c:v>7.5999999999999908</c:v>
                </c:pt>
                <c:pt idx="27">
                  <c:v>7.6999999999999904</c:v>
                </c:pt>
                <c:pt idx="28">
                  <c:v>7.7999999999999901</c:v>
                </c:pt>
                <c:pt idx="29">
                  <c:v>7.8999999999999897</c:v>
                </c:pt>
                <c:pt idx="30">
                  <c:v>7.9999999999999893</c:v>
                </c:pt>
                <c:pt idx="31">
                  <c:v>8.099999999999989</c:v>
                </c:pt>
                <c:pt idx="32">
                  <c:v>8.1999999999999886</c:v>
                </c:pt>
                <c:pt idx="33">
                  <c:v>8.2999999999999883</c:v>
                </c:pt>
                <c:pt idx="34">
                  <c:v>8.3999999999999879</c:v>
                </c:pt>
                <c:pt idx="35">
                  <c:v>8.4999999999999876</c:v>
                </c:pt>
                <c:pt idx="36">
                  <c:v>8.5999999999999872</c:v>
                </c:pt>
                <c:pt idx="37">
                  <c:v>8.6999999999999869</c:v>
                </c:pt>
                <c:pt idx="38">
                  <c:v>8.7999999999999865</c:v>
                </c:pt>
                <c:pt idx="39">
                  <c:v>8.8999999999999861</c:v>
                </c:pt>
                <c:pt idx="40">
                  <c:v>8.9999999999999858</c:v>
                </c:pt>
                <c:pt idx="41">
                  <c:v>9.0999999999999854</c:v>
                </c:pt>
                <c:pt idx="42">
                  <c:v>9.1999999999999851</c:v>
                </c:pt>
                <c:pt idx="43">
                  <c:v>9.2999999999999847</c:v>
                </c:pt>
                <c:pt idx="44">
                  <c:v>9.3999999999999844</c:v>
                </c:pt>
                <c:pt idx="45">
                  <c:v>9.499999999999984</c:v>
                </c:pt>
                <c:pt idx="46">
                  <c:v>9.5999999999999837</c:v>
                </c:pt>
                <c:pt idx="47">
                  <c:v>9.6999999999999833</c:v>
                </c:pt>
                <c:pt idx="48">
                  <c:v>9.7999999999999829</c:v>
                </c:pt>
                <c:pt idx="49">
                  <c:v>9.8999999999999826</c:v>
                </c:pt>
                <c:pt idx="50">
                  <c:v>9.9999999999999822</c:v>
                </c:pt>
                <c:pt idx="51">
                  <c:v>10.099999999999982</c:v>
                </c:pt>
                <c:pt idx="52">
                  <c:v>10.199999999999982</c:v>
                </c:pt>
                <c:pt idx="53">
                  <c:v>10.299999999999981</c:v>
                </c:pt>
                <c:pt idx="54">
                  <c:v>10.399999999999981</c:v>
                </c:pt>
                <c:pt idx="55">
                  <c:v>10.49999999999998</c:v>
                </c:pt>
                <c:pt idx="56">
                  <c:v>10.59999999999998</c:v>
                </c:pt>
                <c:pt idx="57">
                  <c:v>10.69999999999998</c:v>
                </c:pt>
                <c:pt idx="58">
                  <c:v>10.799999999999979</c:v>
                </c:pt>
                <c:pt idx="59">
                  <c:v>10.899999999999979</c:v>
                </c:pt>
                <c:pt idx="60">
                  <c:v>10.999999999999979</c:v>
                </c:pt>
                <c:pt idx="61">
                  <c:v>11.099999999999978</c:v>
                </c:pt>
                <c:pt idx="62">
                  <c:v>11.199999999999978</c:v>
                </c:pt>
                <c:pt idx="63">
                  <c:v>11.299999999999978</c:v>
                </c:pt>
                <c:pt idx="64">
                  <c:v>11.399999999999977</c:v>
                </c:pt>
                <c:pt idx="65">
                  <c:v>11.499999999999977</c:v>
                </c:pt>
                <c:pt idx="66">
                  <c:v>11.599999999999977</c:v>
                </c:pt>
                <c:pt idx="67">
                  <c:v>11.699999999999976</c:v>
                </c:pt>
                <c:pt idx="68">
                  <c:v>11.799999999999976</c:v>
                </c:pt>
                <c:pt idx="69">
                  <c:v>11.899999999999975</c:v>
                </c:pt>
                <c:pt idx="70">
                  <c:v>11.999999999999975</c:v>
                </c:pt>
                <c:pt idx="71">
                  <c:v>12.099999999999975</c:v>
                </c:pt>
                <c:pt idx="72">
                  <c:v>12.199999999999974</c:v>
                </c:pt>
                <c:pt idx="73">
                  <c:v>12.299999999999974</c:v>
                </c:pt>
                <c:pt idx="74">
                  <c:v>12.399999999999974</c:v>
                </c:pt>
                <c:pt idx="75">
                  <c:v>12.499999999999973</c:v>
                </c:pt>
                <c:pt idx="76">
                  <c:v>12.599999999999973</c:v>
                </c:pt>
                <c:pt idx="77">
                  <c:v>12.699999999999973</c:v>
                </c:pt>
                <c:pt idx="78">
                  <c:v>12.799999999999972</c:v>
                </c:pt>
                <c:pt idx="79">
                  <c:v>12.899999999999972</c:v>
                </c:pt>
                <c:pt idx="80">
                  <c:v>12.999999999999972</c:v>
                </c:pt>
                <c:pt idx="81">
                  <c:v>13.099999999999971</c:v>
                </c:pt>
                <c:pt idx="82">
                  <c:v>13.199999999999971</c:v>
                </c:pt>
                <c:pt idx="83">
                  <c:v>13.299999999999971</c:v>
                </c:pt>
                <c:pt idx="84">
                  <c:v>13.39999999999997</c:v>
                </c:pt>
                <c:pt idx="85">
                  <c:v>13.49999999999997</c:v>
                </c:pt>
                <c:pt idx="86">
                  <c:v>13.599999999999969</c:v>
                </c:pt>
                <c:pt idx="87">
                  <c:v>13.699999999999969</c:v>
                </c:pt>
                <c:pt idx="88">
                  <c:v>13.799999999999969</c:v>
                </c:pt>
                <c:pt idx="89">
                  <c:v>13.899999999999968</c:v>
                </c:pt>
                <c:pt idx="90">
                  <c:v>13.999999999999968</c:v>
                </c:pt>
                <c:pt idx="91">
                  <c:v>14.099999999999968</c:v>
                </c:pt>
                <c:pt idx="92">
                  <c:v>14.199999999999967</c:v>
                </c:pt>
                <c:pt idx="93">
                  <c:v>14.299999999999967</c:v>
                </c:pt>
                <c:pt idx="94">
                  <c:v>14.399999999999967</c:v>
                </c:pt>
                <c:pt idx="95">
                  <c:v>14.499999999999966</c:v>
                </c:pt>
                <c:pt idx="96">
                  <c:v>14.599999999999966</c:v>
                </c:pt>
                <c:pt idx="97">
                  <c:v>14.699999999999966</c:v>
                </c:pt>
                <c:pt idx="98">
                  <c:v>14.799999999999965</c:v>
                </c:pt>
                <c:pt idx="99">
                  <c:v>14.899999999999965</c:v>
                </c:pt>
                <c:pt idx="100">
                  <c:v>14.999999999999964</c:v>
                </c:pt>
                <c:pt idx="101">
                  <c:v>15.099999999999964</c:v>
                </c:pt>
                <c:pt idx="102">
                  <c:v>15.199999999999964</c:v>
                </c:pt>
                <c:pt idx="103">
                  <c:v>15.299999999999963</c:v>
                </c:pt>
                <c:pt idx="104">
                  <c:v>15.399999999999963</c:v>
                </c:pt>
                <c:pt idx="105">
                  <c:v>15.499999999999963</c:v>
                </c:pt>
                <c:pt idx="106">
                  <c:v>15.599999999999962</c:v>
                </c:pt>
                <c:pt idx="107">
                  <c:v>15.699999999999962</c:v>
                </c:pt>
                <c:pt idx="108">
                  <c:v>15.799999999999962</c:v>
                </c:pt>
                <c:pt idx="109">
                  <c:v>15.899999999999961</c:v>
                </c:pt>
                <c:pt idx="110">
                  <c:v>15.999999999999961</c:v>
                </c:pt>
                <c:pt idx="111">
                  <c:v>16.099999999999962</c:v>
                </c:pt>
                <c:pt idx="112">
                  <c:v>16.199999999999964</c:v>
                </c:pt>
                <c:pt idx="113">
                  <c:v>16.299999999999965</c:v>
                </c:pt>
                <c:pt idx="114">
                  <c:v>16.399999999999967</c:v>
                </c:pt>
                <c:pt idx="115">
                  <c:v>16.499999999999968</c:v>
                </c:pt>
                <c:pt idx="116">
                  <c:v>16.599999999999969</c:v>
                </c:pt>
                <c:pt idx="117">
                  <c:v>16.699999999999971</c:v>
                </c:pt>
                <c:pt idx="118">
                  <c:v>16.799999999999972</c:v>
                </c:pt>
                <c:pt idx="119">
                  <c:v>16.899999999999974</c:v>
                </c:pt>
                <c:pt idx="120">
                  <c:v>16.999999999999975</c:v>
                </c:pt>
                <c:pt idx="121">
                  <c:v>17.099999999999977</c:v>
                </c:pt>
                <c:pt idx="122">
                  <c:v>17.199999999999978</c:v>
                </c:pt>
              </c:numCache>
            </c:numRef>
          </c:xVal>
          <c:yVal>
            <c:numRef>
              <c:f>Distributions!$G$553:$G$675</c:f>
              <c:numCache>
                <c:formatCode>0.00</c:formatCode>
                <c:ptCount val="123"/>
                <c:pt idx="0">
                  <c:v>2.3448398102503361</c:v>
                </c:pt>
                <c:pt idx="1">
                  <c:v>2.427129808127205</c:v>
                </c:pt>
                <c:pt idx="2">
                  <c:v>2.5270085157934439</c:v>
                </c:pt>
                <c:pt idx="3">
                  <c:v>2.64094004886091</c:v>
                </c:pt>
                <c:pt idx="4">
                  <c:v>2.7655780508026018</c:v>
                </c:pt>
                <c:pt idx="5">
                  <c:v>2.8978904510932137</c:v>
                </c:pt>
                <c:pt idx="6">
                  <c:v>3.0352062156986186</c:v>
                </c:pt>
                <c:pt idx="7">
                  <c:v>3.1752126090594759</c:v>
                </c:pt>
                <c:pt idx="8">
                  <c:v>3.3159263116327304</c:v>
                </c:pt>
                <c:pt idx="9">
                  <c:v>3.45565405760926</c:v>
                </c:pt>
                <c:pt idx="10">
                  <c:v>3.5929518765979727</c:v>
                </c:pt>
                <c:pt idx="11">
                  <c:v>3.7265874847250466</c:v>
                </c:pt>
                <c:pt idx="12">
                  <c:v>3.8555076333109151</c:v>
                </c:pt>
                <c:pt idx="13">
                  <c:v>3.9788107432945479</c:v>
                </c:pt>
                <c:pt idx="14">
                  <c:v>4.0957244457823396</c:v>
                </c:pt>
                <c:pt idx="15">
                  <c:v>4.2055873740516629</c:v>
                </c:pt>
                <c:pt idx="16">
                  <c:v>4.3078345000079796</c:v>
                </c:pt>
                <c:pt idx="17">
                  <c:v>4.4019853586359288</c:v>
                </c:pt>
                <c:pt idx="18">
                  <c:v>4.4876345934291741</c:v>
                </c:pt>
                <c:pt idx="19">
                  <c:v>4.5644443523377127</c:v>
                </c:pt>
                <c:pt idx="20">
                  <c:v>4.632138153170871</c:v>
                </c:pt>
                <c:pt idx="21">
                  <c:v>4.6904959144370642</c:v>
                </c:pt>
                <c:pt idx="22">
                  <c:v>4.7393499114783175</c:v>
                </c:pt>
                <c:pt idx="23">
                  <c:v>4.7785814695849584</c:v>
                </c:pt>
                <c:pt idx="24">
                  <c:v>4.8081182473482729</c:v>
                </c:pt>
                <c:pt idx="25">
                  <c:v>4.8279319967067664</c:v>
                </c:pt>
                <c:pt idx="26">
                  <c:v>4.8380367126789707</c:v>
                </c:pt>
                <c:pt idx="27">
                  <c:v>4.8384871071158297</c:v>
                </c:pt>
                <c:pt idx="28">
                  <c:v>4.8293773581565791</c:v>
                </c:pt>
                <c:pt idx="29">
                  <c:v>4.8108401014141187</c:v>
                </c:pt>
                <c:pt idx="30">
                  <c:v>4.7830456410394788</c:v>
                </c:pt>
                <c:pt idx="31">
                  <c:v>4.7462013693580731</c:v>
                </c:pt>
                <c:pt idx="32">
                  <c:v>4.7005513932491452</c:v>
                </c:pt>
                <c:pt idx="33">
                  <c:v>4.6463763742735296</c:v>
                </c:pt>
                <c:pt idx="34">
                  <c:v>4.5839935980797248</c:v>
                </c:pt>
                <c:pt idx="35">
                  <c:v>4.513757297092158</c:v>
                </c:pt>
                <c:pt idx="36">
                  <c:v>4.4360592590773056</c:v>
                </c:pt>
                <c:pt idx="37">
                  <c:v>4.3513297629439416</c:v>
                </c:pt>
                <c:pt idx="38">
                  <c:v>4.2600388919394838</c:v>
                </c:pt>
                <c:pt idx="39">
                  <c:v>4.1626982828585808</c:v>
                </c:pt>
                <c:pt idx="40">
                  <c:v>4.0598633771548451</c:v>
                </c:pt>
                <c:pt idx="41">
                  <c:v>3.9521362444346955</c:v>
                </c:pt>
                <c:pt idx="42">
                  <c:v>3.8401690481518154</c:v>
                </c:pt>
                <c:pt idx="43">
                  <c:v>3.7246682132465914</c:v>
                </c:pt>
                <c:pt idx="44">
                  <c:v>3.6063993294516337</c:v>
                </c:pt>
                <c:pt idx="45">
                  <c:v>3.4861927721035606</c:v>
                </c:pt>
                <c:pt idx="46">
                  <c:v>3.3649499301175343</c:v>
                </c:pt>
                <c:pt idx="47">
                  <c:v>3.2436497782795919</c:v>
                </c:pt>
                <c:pt idx="48">
                  <c:v>3.1233552924563699</c:v>
                </c:pt>
                <c:pt idx="49">
                  <c:v>3.0052188525603385</c:v>
                </c:pt>
                <c:pt idx="50">
                  <c:v>2.8904852842109388</c:v>
                </c:pt>
                <c:pt idx="51">
                  <c:v>2.7804905526602788</c:v>
                </c:pt>
                <c:pt idx="52">
                  <c:v>2.6766533920985656</c:v>
                </c:pt>
                <c:pt idx="53">
                  <c:v>2.5804564826921252</c:v>
                </c:pt>
                <c:pt idx="54">
                  <c:v>2.4934134860109123</c:v>
                </c:pt>
                <c:pt idx="55">
                  <c:v>2.4170188040809499</c:v>
                </c:pt>
                <c:pt idx="56">
                  <c:v>2.3526789151201011</c:v>
                </c:pt>
                <c:pt idx="57">
                  <c:v>2.3016279402937876</c:v>
                </c:pt>
                <c:pt idx="58">
                  <c:v>2.2648354066966783</c:v>
                </c:pt>
                <c:pt idx="59">
                  <c:v>2.2429195567897486</c:v>
                </c:pt>
                <c:pt idx="60">
                  <c:v>2.2360825564190625</c:v>
                </c:pt>
                <c:pt idx="61">
                  <c:v>2.2440821882098763</c:v>
                </c:pt>
                <c:pt idx="62">
                  <c:v>2.2662474986465715</c:v>
                </c:pt>
                <c:pt idx="63">
                  <c:v>2.301535624042625</c:v>
                </c:pt>
                <c:pt idx="64">
                  <c:v>2.3486177722669122</c:v>
                </c:pt>
                <c:pt idx="65">
                  <c:v>2.4059776434532356</c:v>
                </c:pt>
                <c:pt idx="66">
                  <c:v>2.4720064203996746</c:v>
                </c:pt>
                <c:pt idx="67">
                  <c:v>2.5450832089737978</c:v>
                </c:pt>
                <c:pt idx="68">
                  <c:v>2.6236357421051011</c:v>
                </c:pt>
                <c:pt idx="69">
                  <c:v>2.7061811115127012</c:v>
                </c:pt>
                <c:pt idx="70">
                  <c:v>2.7913493322822371</c:v>
                </c:pt>
                <c:pt idx="71">
                  <c:v>2.877893774283951</c:v>
                </c:pt>
                <c:pt idx="72">
                  <c:v>2.9646924836554605</c:v>
                </c:pt>
                <c:pt idx="73">
                  <c:v>3.0507437744097503</c:v>
                </c:pt>
                <c:pt idx="74">
                  <c:v>3.1351586343899513</c:v>
                </c:pt>
                <c:pt idx="75">
                  <c:v>3.2171517065012494</c:v>
                </c:pt>
                <c:pt idx="76">
                  <c:v>3.2960319756556702</c:v>
                </c:pt>
                <c:pt idx="77">
                  <c:v>3.3711938302126141</c:v>
                </c:pt>
                <c:pt idx="78">
                  <c:v>3.4421088514246914</c:v>
                </c:pt>
                <c:pt idx="79">
                  <c:v>3.508318481532303</c:v>
                </c:pt>
                <c:pt idx="80">
                  <c:v>3.5694275982408135</c:v>
                </c:pt>
                <c:pt idx="81">
                  <c:v>3.6250989541869134</c:v>
                </c:pt>
                <c:pt idx="82">
                  <c:v>3.675048405404048</c:v>
                </c:pt>
                <c:pt idx="83">
                  <c:v>3.7190408393959622</c:v>
                </c:pt>
                <c:pt idx="84">
                  <c:v>3.7568867123874652</c:v>
                </c:pt>
                <c:pt idx="85">
                  <c:v>3.7884391110013604</c:v>
                </c:pt>
                <c:pt idx="86">
                  <c:v>3.8135912625331225</c:v>
                </c:pt>
                <c:pt idx="87">
                  <c:v>3.8322744280994345</c:v>
                </c:pt>
                <c:pt idx="88">
                  <c:v>3.8444561230615224</c:v>
                </c:pt>
                <c:pt idx="89">
                  <c:v>3.8501386186626791</c:v>
                </c:pt>
                <c:pt idx="90">
                  <c:v>3.849357687495889</c:v>
                </c:pt>
                <c:pt idx="91">
                  <c:v>3.8421815631445875</c:v>
                </c:pt>
                <c:pt idx="92">
                  <c:v>3.8287100911283787</c:v>
                </c:pt>
                <c:pt idx="93">
                  <c:v>3.8090740541886756</c:v>
                </c:pt>
                <c:pt idx="94">
                  <c:v>3.783434660024954</c:v>
                </c:pt>
                <c:pt idx="95">
                  <c:v>3.7519831838794104</c:v>
                </c:pt>
                <c:pt idx="96">
                  <c:v>3.714940761866194</c:v>
                </c:pt>
                <c:pt idx="97">
                  <c:v>3.6725583335936349</c:v>
                </c:pt>
                <c:pt idx="98">
                  <c:v>3.6251167342994561</c:v>
                </c:pt>
                <c:pt idx="99">
                  <c:v>3.5729269371731989</c:v>
                </c:pt>
                <c:pt idx="100">
                  <c:v>3.5163304454083129</c:v>
                </c:pt>
                <c:pt idx="101">
                  <c:v>3.4556998302700994</c:v>
                </c:pt>
                <c:pt idx="102">
                  <c:v>3.3914394053337307</c:v>
                </c:pt>
                <c:pt idx="103">
                  <c:v>3.3239860170289157</c:v>
                </c:pt>
                <c:pt idx="104">
                  <c:v>3.2538099164175707</c:v>
                </c:pt>
                <c:pt idx="105">
                  <c:v>3.1814156551106576</c:v>
                </c:pt>
                <c:pt idx="106">
                  <c:v>3.1073429175181544</c:v>
                </c:pt>
                <c:pt idx="107">
                  <c:v>3.0321671602334748</c:v>
                </c:pt>
                <c:pt idx="108">
                  <c:v>2.956499875540481</c:v>
                </c:pt>
                <c:pt idx="109">
                  <c:v>2.8809882289685467</c:v>
                </c:pt>
                <c:pt idx="110">
                  <c:v>2.8063137416934487</c:v>
                </c:pt>
                <c:pt idx="111">
                  <c:v>2.7331896022337396</c:v>
                </c:pt>
                <c:pt idx="112">
                  <c:v>2.6623561090014527</c:v>
                </c:pt>
                <c:pt idx="113">
                  <c:v>2.5945736847241099</c:v>
                </c:pt>
                <c:pt idx="114">
                  <c:v>2.5306128943911643</c:v>
                </c:pt>
                <c:pt idx="115">
                  <c:v>2.4712409783797953</c:v>
                </c:pt>
                <c:pt idx="116">
                  <c:v>2.4172046240610841</c:v>
                </c:pt>
                <c:pt idx="117">
                  <c:v>2.369209076476491</c:v>
                </c:pt>
                <c:pt idx="118">
                  <c:v>2.3278942372424178</c:v>
                </c:pt>
                <c:pt idx="119">
                  <c:v>2.2938090741506332</c:v>
                </c:pt>
                <c:pt idx="120">
                  <c:v>2.2673863465264059</c:v>
                </c:pt>
                <c:pt idx="121">
                  <c:v>2.2489201652626942</c:v>
                </c:pt>
                <c:pt idx="122">
                  <c:v>2.2385490534393555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8008-4DD2-96AA-B8E910D19D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13550408"/>
        <c:axId val="1"/>
      </c:scatterChart>
      <c:valAx>
        <c:axId val="413550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18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18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413550408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Distributions!$D$680:$D$740</c:f>
              <c:numCache>
                <c:formatCode>0.0</c:formatCode>
                <c:ptCount val="61"/>
                <c:pt idx="0">
                  <c:v>7</c:v>
                </c:pt>
                <c:pt idx="1">
                  <c:v>7.1</c:v>
                </c:pt>
                <c:pt idx="2">
                  <c:v>7.1999999999999993</c:v>
                </c:pt>
                <c:pt idx="3">
                  <c:v>7.2999999999999989</c:v>
                </c:pt>
                <c:pt idx="4">
                  <c:v>7.3999999999999986</c:v>
                </c:pt>
                <c:pt idx="5">
                  <c:v>7.4999999999999982</c:v>
                </c:pt>
                <c:pt idx="6">
                  <c:v>7.5999999999999979</c:v>
                </c:pt>
                <c:pt idx="7">
                  <c:v>7.6999999999999975</c:v>
                </c:pt>
                <c:pt idx="8">
                  <c:v>7.7999999999999972</c:v>
                </c:pt>
                <c:pt idx="9">
                  <c:v>7.8999999999999968</c:v>
                </c:pt>
                <c:pt idx="10">
                  <c:v>7.9999999999999964</c:v>
                </c:pt>
                <c:pt idx="11">
                  <c:v>8.0999999999999961</c:v>
                </c:pt>
                <c:pt idx="12">
                  <c:v>8.1999999999999957</c:v>
                </c:pt>
                <c:pt idx="13">
                  <c:v>8.2999999999999954</c:v>
                </c:pt>
                <c:pt idx="14">
                  <c:v>8.399999999999995</c:v>
                </c:pt>
                <c:pt idx="15">
                  <c:v>8.4999999999999947</c:v>
                </c:pt>
                <c:pt idx="16">
                  <c:v>8.5999999999999943</c:v>
                </c:pt>
                <c:pt idx="17">
                  <c:v>8.699999999999994</c:v>
                </c:pt>
                <c:pt idx="18">
                  <c:v>8.7999999999999936</c:v>
                </c:pt>
                <c:pt idx="19">
                  <c:v>8.8999999999999932</c:v>
                </c:pt>
                <c:pt idx="20">
                  <c:v>8.9999999999999929</c:v>
                </c:pt>
                <c:pt idx="21">
                  <c:v>9.0999999999999925</c:v>
                </c:pt>
                <c:pt idx="22">
                  <c:v>9.1999999999999922</c:v>
                </c:pt>
                <c:pt idx="23">
                  <c:v>9.2999999999999918</c:v>
                </c:pt>
                <c:pt idx="24">
                  <c:v>9.3999999999999915</c:v>
                </c:pt>
                <c:pt idx="25">
                  <c:v>9.4999999999999911</c:v>
                </c:pt>
                <c:pt idx="26">
                  <c:v>9.5999999999999908</c:v>
                </c:pt>
                <c:pt idx="27">
                  <c:v>9.6999999999999904</c:v>
                </c:pt>
                <c:pt idx="28">
                  <c:v>9.7999999999999901</c:v>
                </c:pt>
                <c:pt idx="29">
                  <c:v>9.8999999999999897</c:v>
                </c:pt>
                <c:pt idx="30">
                  <c:v>9.9999999999999893</c:v>
                </c:pt>
                <c:pt idx="31">
                  <c:v>10.099999999999989</c:v>
                </c:pt>
                <c:pt idx="32">
                  <c:v>10.199999999999989</c:v>
                </c:pt>
                <c:pt idx="33">
                  <c:v>10.299999999999988</c:v>
                </c:pt>
                <c:pt idx="34">
                  <c:v>10.399999999999988</c:v>
                </c:pt>
                <c:pt idx="35">
                  <c:v>10.499999999999988</c:v>
                </c:pt>
                <c:pt idx="36">
                  <c:v>10.599999999999987</c:v>
                </c:pt>
                <c:pt idx="37">
                  <c:v>10.699999999999987</c:v>
                </c:pt>
                <c:pt idx="38">
                  <c:v>10.799999999999986</c:v>
                </c:pt>
                <c:pt idx="39">
                  <c:v>10.899999999999986</c:v>
                </c:pt>
                <c:pt idx="40">
                  <c:v>10.999999999999986</c:v>
                </c:pt>
                <c:pt idx="41">
                  <c:v>11.099999999999985</c:v>
                </c:pt>
                <c:pt idx="42">
                  <c:v>11.199999999999985</c:v>
                </c:pt>
                <c:pt idx="43">
                  <c:v>11.299999999999985</c:v>
                </c:pt>
                <c:pt idx="44">
                  <c:v>11.399999999999984</c:v>
                </c:pt>
                <c:pt idx="45">
                  <c:v>11.499999999999984</c:v>
                </c:pt>
                <c:pt idx="46">
                  <c:v>11.599999999999984</c:v>
                </c:pt>
                <c:pt idx="47">
                  <c:v>11.699999999999983</c:v>
                </c:pt>
                <c:pt idx="48">
                  <c:v>11.799999999999983</c:v>
                </c:pt>
                <c:pt idx="49">
                  <c:v>11.899999999999983</c:v>
                </c:pt>
                <c:pt idx="50">
                  <c:v>11.999999999999982</c:v>
                </c:pt>
                <c:pt idx="51">
                  <c:v>12.099999999999982</c:v>
                </c:pt>
                <c:pt idx="52">
                  <c:v>12.199999999999982</c:v>
                </c:pt>
                <c:pt idx="53">
                  <c:v>12.299999999999981</c:v>
                </c:pt>
                <c:pt idx="54">
                  <c:v>12.399999999999981</c:v>
                </c:pt>
                <c:pt idx="55">
                  <c:v>12.49999999999998</c:v>
                </c:pt>
                <c:pt idx="56">
                  <c:v>12.59999999999998</c:v>
                </c:pt>
                <c:pt idx="57">
                  <c:v>12.69999999999998</c:v>
                </c:pt>
                <c:pt idx="58">
                  <c:v>12.799999999999979</c:v>
                </c:pt>
                <c:pt idx="59">
                  <c:v>12.899999999999979</c:v>
                </c:pt>
                <c:pt idx="60">
                  <c:v>12.999999999999979</c:v>
                </c:pt>
              </c:numCache>
            </c:numRef>
          </c:xVal>
          <c:yVal>
            <c:numRef>
              <c:f>Distributions!$E$680:$E$740</c:f>
              <c:numCache>
                <c:formatCode>0.00</c:formatCode>
                <c:ptCount val="61"/>
                <c:pt idx="0">
                  <c:v>5.0794067809260435E-2</c:v>
                </c:pt>
                <c:pt idx="1">
                  <c:v>0.1164400071990126</c:v>
                </c:pt>
                <c:pt idx="2">
                  <c:v>0.20881979719310584</c:v>
                </c:pt>
                <c:pt idx="3">
                  <c:v>0.32652689654864153</c:v>
                </c:pt>
                <c:pt idx="4">
                  <c:v>0.46732663873794889</c:v>
                </c:pt>
                <c:pt idx="5">
                  <c:v>0.62822076208641275</c:v>
                </c:pt>
                <c:pt idx="6">
                  <c:v>0.80554081299084124</c:v>
                </c:pt>
                <c:pt idx="7">
                  <c:v>0.99506695958927938</c:v>
                </c:pt>
                <c:pt idx="8">
                  <c:v>1.1921677532876229</c:v>
                </c:pt>
                <c:pt idx="9">
                  <c:v>1.3919555507533707</c:v>
                </c:pt>
                <c:pt idx="10">
                  <c:v>1.5894516921411392</c:v>
                </c:pt>
                <c:pt idx="11">
                  <c:v>1.7797551469350177</c:v>
                </c:pt>
                <c:pt idx="12">
                  <c:v>1.9582082021578022</c:v>
                </c:pt>
                <c:pt idx="13">
                  <c:v>2.1205528842377621</c:v>
                </c:pt>
                <c:pt idx="14">
                  <c:v>2.2630721709074306</c:v>
                </c:pt>
                <c:pt idx="15">
                  <c:v>2.3827106486245961</c:v>
                </c:pt>
                <c:pt idx="16">
                  <c:v>2.4771700803408061</c:v>
                </c:pt>
                <c:pt idx="17">
                  <c:v>2.5449763358327124</c:v>
                </c:pt>
                <c:pt idx="18">
                  <c:v>2.5855152630207163</c:v>
                </c:pt>
                <c:pt idx="19">
                  <c:v>2.5990362989839033</c:v>
                </c:pt>
                <c:pt idx="20">
                  <c:v>2.5866238852705168</c:v>
                </c:pt>
                <c:pt idx="21">
                  <c:v>2.5501380133342577</c:v>
                </c:pt>
                <c:pt idx="22">
                  <c:v>2.4921264324401164</c:v>
                </c:pt>
                <c:pt idx="23">
                  <c:v>2.4157121563209216</c:v>
                </c:pt>
                <c:pt idx="24">
                  <c:v>2.3244608624743988</c:v>
                </c:pt>
                <c:pt idx="25">
                  <c:v>2.2222335513649116</c:v>
                </c:pt>
                <c:pt idx="26">
                  <c:v>2.1130303913841892</c:v>
                </c:pt>
                <c:pt idx="27">
                  <c:v>2.000831997252472</c:v>
                </c:pt>
                <c:pt idx="28">
                  <c:v>1.8894444620706972</c:v>
                </c:pt>
                <c:pt idx="29">
                  <c:v>1.7823542838718194</c:v>
                </c:pt>
                <c:pt idx="30">
                  <c:v>1.6825989037126488</c:v>
                </c:pt>
                <c:pt idx="31">
                  <c:v>1.592657921285705</c:v>
                </c:pt>
                <c:pt idx="32">
                  <c:v>1.5143692019558734</c:v>
                </c:pt>
                <c:pt idx="33">
                  <c:v>1.4488730702856927</c:v>
                </c:pt>
                <c:pt idx="34">
                  <c:v>1.3965866403886142</c:v>
                </c:pt>
                <c:pt idx="35">
                  <c:v>1.3572091087279687</c:v>
                </c:pt>
                <c:pt idx="36">
                  <c:v>1.3297575793188412</c:v>
                </c:pt>
                <c:pt idx="37">
                  <c:v>1.3126317549625164</c:v>
                </c:pt>
                <c:pt idx="38">
                  <c:v>1.3037046606278655</c:v>
                </c:pt>
                <c:pt idx="39">
                  <c:v>1.3004355131032321</c:v>
                </c:pt>
                <c:pt idx="40">
                  <c:v>1.2999999566571512</c:v>
                </c:pt>
                <c:pt idx="41">
                  <c:v>1.2994321834376827</c:v>
                </c:pt>
                <c:pt idx="42">
                  <c:v>1.2957729777419669</c:v>
                </c:pt>
                <c:pt idx="43">
                  <c:v>1.2862174842777692</c:v>
                </c:pt>
                <c:pt idx="44">
                  <c:v>1.2682565116742353</c:v>
                </c:pt>
                <c:pt idx="45">
                  <c:v>1.2398054433345849</c:v>
                </c:pt>
                <c:pt idx="46">
                  <c:v>1.1993153278293034</c:v>
                </c:pt>
                <c:pt idx="47">
                  <c:v>1.145861440406458</c:v>
                </c:pt>
                <c:pt idx="48">
                  <c:v>1.0792055170774881</c:v>
                </c:pt>
                <c:pt idx="49">
                  <c:v>0.99982892673090751</c:v>
                </c:pt>
                <c:pt idx="50">
                  <c:v>0.9089352222708369</c:v>
                </c:pt>
                <c:pt idx="51">
                  <c:v>0.80842175183767351</c:v>
                </c:pt>
                <c:pt idx="52">
                  <c:v>0.70082126611439455</c:v>
                </c:pt>
                <c:pt idx="53">
                  <c:v>0.58921567730872326</c:v>
                </c:pt>
                <c:pt idx="54">
                  <c:v>0.47712526077351913</c:v>
                </c:pt>
                <c:pt idx="55">
                  <c:v>0.36837759587032659</c:v>
                </c:pt>
                <c:pt idx="56">
                  <c:v>0.26696137823627675</c:v>
                </c:pt>
                <c:pt idx="57">
                  <c:v>0.17687086749352843</c:v>
                </c:pt>
                <c:pt idx="58">
                  <c:v>0.10194713716488413</c:v>
                </c:pt>
                <c:pt idx="59">
                  <c:v>4.5722450780129487E-2</c:v>
                </c:pt>
                <c:pt idx="60">
                  <c:v>1.1273993310007446E-2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D48A-4DCC-B4C9-6AAE6C751EDF}"/>
            </c:ext>
          </c:extLst>
        </c:ser>
        <c:ser>
          <c:idx val="1"/>
          <c:order val="1"/>
          <c:spPr>
            <a:ln w="1905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xVal>
            <c:numRef>
              <c:f>Distributions!$D$680:$D$740</c:f>
              <c:numCache>
                <c:formatCode>0.0</c:formatCode>
                <c:ptCount val="61"/>
                <c:pt idx="0">
                  <c:v>7</c:v>
                </c:pt>
                <c:pt idx="1">
                  <c:v>7.1</c:v>
                </c:pt>
                <c:pt idx="2">
                  <c:v>7.1999999999999993</c:v>
                </c:pt>
                <c:pt idx="3">
                  <c:v>7.2999999999999989</c:v>
                </c:pt>
                <c:pt idx="4">
                  <c:v>7.3999999999999986</c:v>
                </c:pt>
                <c:pt idx="5">
                  <c:v>7.4999999999999982</c:v>
                </c:pt>
                <c:pt idx="6">
                  <c:v>7.5999999999999979</c:v>
                </c:pt>
                <c:pt idx="7">
                  <c:v>7.6999999999999975</c:v>
                </c:pt>
                <c:pt idx="8">
                  <c:v>7.7999999999999972</c:v>
                </c:pt>
                <c:pt idx="9">
                  <c:v>7.8999999999999968</c:v>
                </c:pt>
                <c:pt idx="10">
                  <c:v>7.9999999999999964</c:v>
                </c:pt>
                <c:pt idx="11">
                  <c:v>8.0999999999999961</c:v>
                </c:pt>
                <c:pt idx="12">
                  <c:v>8.1999999999999957</c:v>
                </c:pt>
                <c:pt idx="13">
                  <c:v>8.2999999999999954</c:v>
                </c:pt>
                <c:pt idx="14">
                  <c:v>8.399999999999995</c:v>
                </c:pt>
                <c:pt idx="15">
                  <c:v>8.4999999999999947</c:v>
                </c:pt>
                <c:pt idx="16">
                  <c:v>8.5999999999999943</c:v>
                </c:pt>
                <c:pt idx="17">
                  <c:v>8.699999999999994</c:v>
                </c:pt>
                <c:pt idx="18">
                  <c:v>8.7999999999999936</c:v>
                </c:pt>
                <c:pt idx="19">
                  <c:v>8.8999999999999932</c:v>
                </c:pt>
                <c:pt idx="20">
                  <c:v>8.9999999999999929</c:v>
                </c:pt>
                <c:pt idx="21">
                  <c:v>9.0999999999999925</c:v>
                </c:pt>
                <c:pt idx="22">
                  <c:v>9.1999999999999922</c:v>
                </c:pt>
                <c:pt idx="23">
                  <c:v>9.2999999999999918</c:v>
                </c:pt>
                <c:pt idx="24">
                  <c:v>9.3999999999999915</c:v>
                </c:pt>
                <c:pt idx="25">
                  <c:v>9.4999999999999911</c:v>
                </c:pt>
                <c:pt idx="26">
                  <c:v>9.5999999999999908</c:v>
                </c:pt>
                <c:pt idx="27">
                  <c:v>9.6999999999999904</c:v>
                </c:pt>
                <c:pt idx="28">
                  <c:v>9.7999999999999901</c:v>
                </c:pt>
                <c:pt idx="29">
                  <c:v>9.8999999999999897</c:v>
                </c:pt>
                <c:pt idx="30">
                  <c:v>9.9999999999999893</c:v>
                </c:pt>
                <c:pt idx="31">
                  <c:v>10.099999999999989</c:v>
                </c:pt>
                <c:pt idx="32">
                  <c:v>10.199999999999989</c:v>
                </c:pt>
                <c:pt idx="33">
                  <c:v>10.299999999999988</c:v>
                </c:pt>
                <c:pt idx="34">
                  <c:v>10.399999999999988</c:v>
                </c:pt>
                <c:pt idx="35">
                  <c:v>10.499999999999988</c:v>
                </c:pt>
                <c:pt idx="36">
                  <c:v>10.599999999999987</c:v>
                </c:pt>
                <c:pt idx="37">
                  <c:v>10.699999999999987</c:v>
                </c:pt>
                <c:pt idx="38">
                  <c:v>10.799999999999986</c:v>
                </c:pt>
                <c:pt idx="39">
                  <c:v>10.899999999999986</c:v>
                </c:pt>
                <c:pt idx="40">
                  <c:v>10.999999999999986</c:v>
                </c:pt>
                <c:pt idx="41">
                  <c:v>11.099999999999985</c:v>
                </c:pt>
                <c:pt idx="42">
                  <c:v>11.199999999999985</c:v>
                </c:pt>
                <c:pt idx="43">
                  <c:v>11.299999999999985</c:v>
                </c:pt>
                <c:pt idx="44">
                  <c:v>11.399999999999984</c:v>
                </c:pt>
                <c:pt idx="45">
                  <c:v>11.499999999999984</c:v>
                </c:pt>
                <c:pt idx="46">
                  <c:v>11.599999999999984</c:v>
                </c:pt>
                <c:pt idx="47">
                  <c:v>11.699999999999983</c:v>
                </c:pt>
                <c:pt idx="48">
                  <c:v>11.799999999999983</c:v>
                </c:pt>
                <c:pt idx="49">
                  <c:v>11.899999999999983</c:v>
                </c:pt>
                <c:pt idx="50">
                  <c:v>11.999999999999982</c:v>
                </c:pt>
                <c:pt idx="51">
                  <c:v>12.099999999999982</c:v>
                </c:pt>
                <c:pt idx="52">
                  <c:v>12.199999999999982</c:v>
                </c:pt>
                <c:pt idx="53">
                  <c:v>12.299999999999981</c:v>
                </c:pt>
                <c:pt idx="54">
                  <c:v>12.399999999999981</c:v>
                </c:pt>
                <c:pt idx="55">
                  <c:v>12.49999999999998</c:v>
                </c:pt>
                <c:pt idx="56">
                  <c:v>12.59999999999998</c:v>
                </c:pt>
                <c:pt idx="57">
                  <c:v>12.69999999999998</c:v>
                </c:pt>
                <c:pt idx="58">
                  <c:v>12.799999999999979</c:v>
                </c:pt>
                <c:pt idx="59">
                  <c:v>12.899999999999979</c:v>
                </c:pt>
                <c:pt idx="60">
                  <c:v>12.999999999999979</c:v>
                </c:pt>
              </c:numCache>
            </c:numRef>
          </c:xVal>
          <c:yVal>
            <c:numRef>
              <c:f>Distributions!$F$680:$F$740</c:f>
              <c:numCache>
                <c:formatCode>0.00</c:formatCode>
                <c:ptCount val="61"/>
                <c:pt idx="0">
                  <c:v>-1.2941870055928677</c:v>
                </c:pt>
                <c:pt idx="1">
                  <c:v>-0.93389777638256255</c:v>
                </c:pt>
                <c:pt idx="2">
                  <c:v>-0.68022833036253538</c:v>
                </c:pt>
                <c:pt idx="3">
                  <c:v>-0.48608103937649783</c:v>
                </c:pt>
                <c:pt idx="4">
                  <c:v>-0.33037946244421262</c:v>
                </c:pt>
                <c:pt idx="5">
                  <c:v>-0.20188771468924757</c:v>
                </c:pt>
                <c:pt idx="6">
                  <c:v>-9.3912451014239395E-2</c:v>
                </c:pt>
                <c:pt idx="7">
                  <c:v>-2.1476939259453746E-3</c:v>
                </c:pt>
                <c:pt idx="8">
                  <c:v>7.633737050583371E-2</c:v>
                </c:pt>
                <c:pt idx="9">
                  <c:v>0.14362536719210767</c:v>
                </c:pt>
                <c:pt idx="10">
                  <c:v>0.20124733303383646</c:v>
                </c:pt>
                <c:pt idx="11">
                  <c:v>0.25036025756197894</c:v>
                </c:pt>
                <c:pt idx="12">
                  <c:v>0.29185886532267286</c:v>
                </c:pt>
                <c:pt idx="13">
                  <c:v>0.32644910775363811</c:v>
                </c:pt>
                <c:pt idx="14">
                  <c:v>0.35469840412134995</c:v>
                </c:pt>
                <c:pt idx="15">
                  <c:v>0.37707130573901659</c:v>
                </c:pt>
                <c:pt idx="16">
                  <c:v>0.39395582589051303</c:v>
                </c:pt>
                <c:pt idx="17">
                  <c:v>0.4056837484546823</c:v>
                </c:pt>
                <c:pt idx="18">
                  <c:v>0.41254710587761434</c:v>
                </c:pt>
                <c:pt idx="19">
                  <c:v>0.41481234504095937</c:v>
                </c:pt>
                <c:pt idx="20">
                  <c:v>0.4127332835960294</c:v>
                </c:pt>
                <c:pt idx="21">
                  <c:v>0.4065636850643613</c:v>
                </c:pt>
                <c:pt idx="22">
                  <c:v>0.39657007150166346</c:v>
                </c:pt>
                <c:pt idx="23">
                  <c:v>0.38304518476329757</c:v>
                </c:pt>
                <c:pt idx="24">
                  <c:v>0.36632223825647037</c:v>
                </c:pt>
                <c:pt idx="25">
                  <c:v>0.34678970030188211</c:v>
                </c:pt>
                <c:pt idx="26">
                  <c:v>0.32490574348654533</c:v>
                </c:pt>
                <c:pt idx="27">
                  <c:v>0.30121062400386855</c:v>
                </c:pt>
                <c:pt idx="28">
                  <c:v>0.27633413088086317</c:v>
                </c:pt>
                <c:pt idx="29">
                  <c:v>0.2509940342898509</c:v>
                </c:pt>
                <c:pt idx="30">
                  <c:v>0.22598060161768624</c:v>
                </c:pt>
                <c:pt idx="31">
                  <c:v>0.20212250596347994</c:v>
                </c:pt>
                <c:pt idx="32">
                  <c:v>0.18023176870757207</c:v>
                </c:pt>
                <c:pt idx="33">
                  <c:v>0.16103034041315342</c:v>
                </c:pt>
                <c:pt idx="34">
                  <c:v>0.14506788330627524</c:v>
                </c:pt>
                <c:pt idx="35">
                  <c:v>0.13264676569236933</c:v>
                </c:pt>
                <c:pt idx="36">
                  <c:v>0.12377247438044899</c:v>
                </c:pt>
                <c:pt idx="37">
                  <c:v>0.11814290642568703</c:v>
                </c:pt>
                <c:pt idx="38">
                  <c:v>0.11517921809305634</c:v>
                </c:pt>
                <c:pt idx="39">
                  <c:v>0.11408882097033225</c:v>
                </c:pt>
                <c:pt idx="40">
                  <c:v>0.11394333782717493</c:v>
                </c:pt>
                <c:pt idx="41">
                  <c:v>0.11375361886794109</c:v>
                </c:pt>
                <c:pt idx="42">
                  <c:v>0.11252891885678455</c:v>
                </c:pt>
                <c:pt idx="43">
                  <c:v>0.1093144088960608</c:v>
                </c:pt>
                <c:pt idx="44">
                  <c:v>0.1032071008155237</c:v>
                </c:pt>
                <c:pt idx="45">
                  <c:v>9.3353538778729248E-2</c:v>
                </c:pt>
                <c:pt idx="46">
                  <c:v>7.8933384209484161E-2</c:v>
                </c:pt>
                <c:pt idx="47">
                  <c:v>5.9132105148807915E-2</c:v>
                </c:pt>
                <c:pt idx="48">
                  <c:v>3.310415685490125E-2</c:v>
                </c:pt>
                <c:pt idx="49">
                  <c:v>-7.4302532537818376E-5</c:v>
                </c:pt>
                <c:pt idx="50">
                  <c:v>-4.1467066847092247E-2</c:v>
                </c:pt>
                <c:pt idx="51">
                  <c:v>-9.2362009634736286E-2</c:v>
                </c:pt>
                <c:pt idx="52">
                  <c:v>-0.15439272816417066</c:v>
                </c:pt>
                <c:pt idx="53">
                  <c:v>-0.22972570636760981</c:v>
                </c:pt>
                <c:pt idx="54">
                  <c:v>-0.32136758967848655</c:v>
                </c:pt>
                <c:pt idx="55">
                  <c:v>-0.4337067907601076</c:v>
                </c:pt>
                <c:pt idx="56">
                  <c:v>-0.57355156422386355</c:v>
                </c:pt>
                <c:pt idx="57">
                  <c:v>-0.75234369410392188</c:v>
                </c:pt>
                <c:pt idx="58">
                  <c:v>-0.99162496538314726</c:v>
                </c:pt>
                <c:pt idx="59">
                  <c:v>-1.3398704989294119</c:v>
                </c:pt>
                <c:pt idx="60">
                  <c:v>-1.9479222272262895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D48A-4DCC-B4C9-6AAE6C751EDF}"/>
            </c:ext>
          </c:extLst>
        </c:ser>
        <c:ser>
          <c:idx val="2"/>
          <c:order val="2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Distributions!$D$680:$D$740</c:f>
              <c:numCache>
                <c:formatCode>0.0</c:formatCode>
                <c:ptCount val="61"/>
                <c:pt idx="0">
                  <c:v>7</c:v>
                </c:pt>
                <c:pt idx="1">
                  <c:v>7.1</c:v>
                </c:pt>
                <c:pt idx="2">
                  <c:v>7.1999999999999993</c:v>
                </c:pt>
                <c:pt idx="3">
                  <c:v>7.2999999999999989</c:v>
                </c:pt>
                <c:pt idx="4">
                  <c:v>7.3999999999999986</c:v>
                </c:pt>
                <c:pt idx="5">
                  <c:v>7.4999999999999982</c:v>
                </c:pt>
                <c:pt idx="6">
                  <c:v>7.5999999999999979</c:v>
                </c:pt>
                <c:pt idx="7">
                  <c:v>7.6999999999999975</c:v>
                </c:pt>
                <c:pt idx="8">
                  <c:v>7.7999999999999972</c:v>
                </c:pt>
                <c:pt idx="9">
                  <c:v>7.8999999999999968</c:v>
                </c:pt>
                <c:pt idx="10">
                  <c:v>7.9999999999999964</c:v>
                </c:pt>
                <c:pt idx="11">
                  <c:v>8.0999999999999961</c:v>
                </c:pt>
                <c:pt idx="12">
                  <c:v>8.1999999999999957</c:v>
                </c:pt>
                <c:pt idx="13">
                  <c:v>8.2999999999999954</c:v>
                </c:pt>
                <c:pt idx="14">
                  <c:v>8.399999999999995</c:v>
                </c:pt>
                <c:pt idx="15">
                  <c:v>8.4999999999999947</c:v>
                </c:pt>
                <c:pt idx="16">
                  <c:v>8.5999999999999943</c:v>
                </c:pt>
                <c:pt idx="17">
                  <c:v>8.699999999999994</c:v>
                </c:pt>
                <c:pt idx="18">
                  <c:v>8.7999999999999936</c:v>
                </c:pt>
                <c:pt idx="19">
                  <c:v>8.8999999999999932</c:v>
                </c:pt>
                <c:pt idx="20">
                  <c:v>8.9999999999999929</c:v>
                </c:pt>
                <c:pt idx="21">
                  <c:v>9.0999999999999925</c:v>
                </c:pt>
                <c:pt idx="22">
                  <c:v>9.1999999999999922</c:v>
                </c:pt>
                <c:pt idx="23">
                  <c:v>9.2999999999999918</c:v>
                </c:pt>
                <c:pt idx="24">
                  <c:v>9.3999999999999915</c:v>
                </c:pt>
                <c:pt idx="25">
                  <c:v>9.4999999999999911</c:v>
                </c:pt>
                <c:pt idx="26">
                  <c:v>9.5999999999999908</c:v>
                </c:pt>
                <c:pt idx="27">
                  <c:v>9.6999999999999904</c:v>
                </c:pt>
                <c:pt idx="28">
                  <c:v>9.7999999999999901</c:v>
                </c:pt>
                <c:pt idx="29">
                  <c:v>9.8999999999999897</c:v>
                </c:pt>
                <c:pt idx="30">
                  <c:v>9.9999999999999893</c:v>
                </c:pt>
                <c:pt idx="31">
                  <c:v>10.099999999999989</c:v>
                </c:pt>
                <c:pt idx="32">
                  <c:v>10.199999999999989</c:v>
                </c:pt>
                <c:pt idx="33">
                  <c:v>10.299999999999988</c:v>
                </c:pt>
                <c:pt idx="34">
                  <c:v>10.399999999999988</c:v>
                </c:pt>
                <c:pt idx="35">
                  <c:v>10.499999999999988</c:v>
                </c:pt>
                <c:pt idx="36">
                  <c:v>10.599999999999987</c:v>
                </c:pt>
                <c:pt idx="37">
                  <c:v>10.699999999999987</c:v>
                </c:pt>
                <c:pt idx="38">
                  <c:v>10.799999999999986</c:v>
                </c:pt>
                <c:pt idx="39">
                  <c:v>10.899999999999986</c:v>
                </c:pt>
                <c:pt idx="40">
                  <c:v>10.999999999999986</c:v>
                </c:pt>
                <c:pt idx="41">
                  <c:v>11.099999999999985</c:v>
                </c:pt>
                <c:pt idx="42">
                  <c:v>11.199999999999985</c:v>
                </c:pt>
                <c:pt idx="43">
                  <c:v>11.299999999999985</c:v>
                </c:pt>
                <c:pt idx="44">
                  <c:v>11.399999999999984</c:v>
                </c:pt>
                <c:pt idx="45">
                  <c:v>11.499999999999984</c:v>
                </c:pt>
                <c:pt idx="46">
                  <c:v>11.599999999999984</c:v>
                </c:pt>
                <c:pt idx="47">
                  <c:v>11.699999999999983</c:v>
                </c:pt>
                <c:pt idx="48">
                  <c:v>11.799999999999983</c:v>
                </c:pt>
                <c:pt idx="49">
                  <c:v>11.899999999999983</c:v>
                </c:pt>
                <c:pt idx="50">
                  <c:v>11.999999999999982</c:v>
                </c:pt>
                <c:pt idx="51">
                  <c:v>12.099999999999982</c:v>
                </c:pt>
                <c:pt idx="52">
                  <c:v>12.199999999999982</c:v>
                </c:pt>
                <c:pt idx="53">
                  <c:v>12.299999999999981</c:v>
                </c:pt>
                <c:pt idx="54">
                  <c:v>12.399999999999981</c:v>
                </c:pt>
                <c:pt idx="55">
                  <c:v>12.49999999999998</c:v>
                </c:pt>
                <c:pt idx="56">
                  <c:v>12.59999999999998</c:v>
                </c:pt>
                <c:pt idx="57">
                  <c:v>12.69999999999998</c:v>
                </c:pt>
                <c:pt idx="58">
                  <c:v>12.799999999999979</c:v>
                </c:pt>
                <c:pt idx="59">
                  <c:v>12.899999999999979</c:v>
                </c:pt>
                <c:pt idx="60">
                  <c:v>12.999999999999979</c:v>
                </c:pt>
              </c:numCache>
            </c:numRef>
          </c:xVal>
          <c:yVal>
            <c:numRef>
              <c:f>Distributions!$G$680:$G$740</c:f>
              <c:numCache>
                <c:formatCode>0.00</c:formatCode>
                <c:ptCount val="61"/>
                <c:pt idx="0">
                  <c:v>0.22537539308731208</c:v>
                </c:pt>
                <c:pt idx="1">
                  <c:v>0.34123306873603648</c:v>
                </c:pt>
                <c:pt idx="2">
                  <c:v>0.45696804832844257</c:v>
                </c:pt>
                <c:pt idx="3">
                  <c:v>0.57142532018509784</c:v>
                </c:pt>
                <c:pt idx="4">
                  <c:v>0.68361293049352778</c:v>
                </c:pt>
                <c:pt idx="5">
                  <c:v>0.79260378631849393</c:v>
                </c:pt>
                <c:pt idx="6">
                  <c:v>0.89751925494155349</c:v>
                </c:pt>
                <c:pt idx="7">
                  <c:v>0.99753043040765399</c:v>
                </c:pt>
                <c:pt idx="8">
                  <c:v>1.0918643474752818</c:v>
                </c:pt>
                <c:pt idx="9">
                  <c:v>1.1798116590173919</c:v>
                </c:pt>
                <c:pt idx="10">
                  <c:v>1.2607345843361082</c:v>
                </c:pt>
                <c:pt idx="11">
                  <c:v>1.3340746406910737</c:v>
                </c:pt>
                <c:pt idx="12">
                  <c:v>1.3993599258796152</c:v>
                </c:pt>
                <c:pt idx="13">
                  <c:v>1.4562118267057722</c:v>
                </c:pt>
                <c:pt idx="14">
                  <c:v>1.5043510796710422</c:v>
                </c:pt>
                <c:pt idx="15">
                  <c:v>1.5436031383178113</c:v>
                </c:pt>
                <c:pt idx="16">
                  <c:v>1.5739028179467771</c:v>
                </c:pt>
                <c:pt idx="17">
                  <c:v>1.5952981965239954</c:v>
                </c:pt>
                <c:pt idx="18">
                  <c:v>1.6079537502741539</c:v>
                </c:pt>
                <c:pt idx="19">
                  <c:v>1.6121526909644457</c:v>
                </c:pt>
                <c:pt idx="20">
                  <c:v>1.6082984440925499</c:v>
                </c:pt>
                <c:pt idx="21">
                  <c:v>1.5969151553336383</c:v>
                </c:pt>
                <c:pt idx="22">
                  <c:v>1.5786470259181171</c:v>
                </c:pt>
                <c:pt idx="23">
                  <c:v>1.554256142442719</c:v>
                </c:pt>
                <c:pt idx="24">
                  <c:v>1.5246182677884976</c:v>
                </c:pt>
                <c:pt idx="25">
                  <c:v>1.4907157849049937</c:v>
                </c:pt>
                <c:pt idx="26">
                  <c:v>1.4536266341066364</c:v>
                </c:pt>
                <c:pt idx="27">
                  <c:v>1.4145076872369666</c:v>
                </c:pt>
                <c:pt idx="28">
                  <c:v>1.3745706464458991</c:v>
                </c:pt>
                <c:pt idx="29">
                  <c:v>1.3350484200476849</c:v>
                </c:pt>
                <c:pt idx="30">
                  <c:v>1.2971503011265304</c:v>
                </c:pt>
                <c:pt idx="31">
                  <c:v>1.2620055155528065</c:v>
                </c:pt>
                <c:pt idx="32">
                  <c:v>1.2305970916412379</c:v>
                </c:pt>
                <c:pt idx="33">
                  <c:v>1.2036914348310752</c:v>
                </c:pt>
                <c:pt idx="34">
                  <c:v>1.1817726686586614</c:v>
                </c:pt>
                <c:pt idx="35">
                  <c:v>1.1649931796916104</c:v>
                </c:pt>
                <c:pt idx="36">
                  <c:v>1.153151151982619</c:v>
                </c:pt>
                <c:pt idx="37">
                  <c:v>1.1457014248758339</c:v>
                </c:pt>
                <c:pt idx="38">
                  <c:v>1.1417988704793263</c:v>
                </c:pt>
                <c:pt idx="39">
                  <c:v>1.1403663942361824</c:v>
                </c:pt>
                <c:pt idx="40">
                  <c:v>1.1401754060920413</c:v>
                </c:pt>
                <c:pt idx="41">
                  <c:v>1.1399263938683422</c:v>
                </c:pt>
                <c:pt idx="42">
                  <c:v>1.1383202439304885</c:v>
                </c:pt>
                <c:pt idx="43">
                  <c:v>1.1341152870311595</c:v>
                </c:pt>
                <c:pt idx="44">
                  <c:v>1.1261689534320485</c:v>
                </c:pt>
                <c:pt idx="45">
                  <c:v>1.1134655106174527</c:v>
                </c:pt>
                <c:pt idx="46">
                  <c:v>1.0951325617610423</c:v>
                </c:pt>
                <c:pt idx="47">
                  <c:v>1.0704491769376339</c:v>
                </c:pt>
                <c:pt idx="48">
                  <c:v>1.0388481684430542</c:v>
                </c:pt>
                <c:pt idx="49">
                  <c:v>0.99991445970688286</c:v>
                </c:pt>
                <c:pt idx="50">
                  <c:v>0.9533809428926282</c:v>
                </c:pt>
                <c:pt idx="51">
                  <c:v>0.89912276794533097</c:v>
                </c:pt>
                <c:pt idx="52">
                  <c:v>0.83715068304003348</c:v>
                </c:pt>
                <c:pt idx="53">
                  <c:v>0.76760385441236767</c:v>
                </c:pt>
                <c:pt idx="54">
                  <c:v>0.69074254304590155</c:v>
                </c:pt>
                <c:pt idx="55">
                  <c:v>0.60694117990982177</c:v>
                </c:pt>
                <c:pt idx="56">
                  <c:v>0.51668305394726921</c:v>
                </c:pt>
                <c:pt idx="57">
                  <c:v>0.42056018296259151</c:v>
                </c:pt>
                <c:pt idx="58">
                  <c:v>0.3192916177491732</c:v>
                </c:pt>
                <c:pt idx="59">
                  <c:v>0.21382808697673344</c:v>
                </c:pt>
                <c:pt idx="60">
                  <c:v>0.1061790624841237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D48A-4DCC-B4C9-6AAE6C751E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13550080"/>
        <c:axId val="1"/>
      </c:scatterChart>
      <c:valAx>
        <c:axId val="413550080"/>
        <c:scaling>
          <c:orientation val="minMax"/>
          <c:min val="6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18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18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413550080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Distributions!$B$768:$B$890</c:f>
              <c:numCache>
                <c:formatCode>0.000</c:formatCode>
                <c:ptCount val="123"/>
                <c:pt idx="0">
                  <c:v>-3</c:v>
                </c:pt>
                <c:pt idx="1">
                  <c:v>-2.95</c:v>
                </c:pt>
                <c:pt idx="2">
                  <c:v>-2.9000000000000004</c:v>
                </c:pt>
                <c:pt idx="3">
                  <c:v>-2.8500000000000005</c:v>
                </c:pt>
                <c:pt idx="4">
                  <c:v>-2.8000000000000007</c:v>
                </c:pt>
                <c:pt idx="5">
                  <c:v>-2.7500000000000009</c:v>
                </c:pt>
                <c:pt idx="6">
                  <c:v>-2.7000000000000011</c:v>
                </c:pt>
                <c:pt idx="7">
                  <c:v>-2.6500000000000012</c:v>
                </c:pt>
                <c:pt idx="8">
                  <c:v>-2.6000000000000014</c:v>
                </c:pt>
                <c:pt idx="9">
                  <c:v>-2.5500000000000016</c:v>
                </c:pt>
                <c:pt idx="10">
                  <c:v>-2.5000000000000018</c:v>
                </c:pt>
                <c:pt idx="11">
                  <c:v>-2.450000000000002</c:v>
                </c:pt>
                <c:pt idx="12">
                  <c:v>-2.4000000000000021</c:v>
                </c:pt>
                <c:pt idx="13">
                  <c:v>-2.3500000000000023</c:v>
                </c:pt>
                <c:pt idx="14">
                  <c:v>-2.3000000000000025</c:v>
                </c:pt>
                <c:pt idx="15">
                  <c:v>-2.2500000000000027</c:v>
                </c:pt>
                <c:pt idx="16">
                  <c:v>-2.2000000000000028</c:v>
                </c:pt>
                <c:pt idx="17">
                  <c:v>-2.150000000000003</c:v>
                </c:pt>
                <c:pt idx="18">
                  <c:v>-2.1000000000000032</c:v>
                </c:pt>
                <c:pt idx="19">
                  <c:v>-2.0500000000000034</c:v>
                </c:pt>
                <c:pt idx="20">
                  <c:v>-2.0000000000000036</c:v>
                </c:pt>
                <c:pt idx="21">
                  <c:v>-1.9500000000000035</c:v>
                </c:pt>
                <c:pt idx="22">
                  <c:v>-1.9000000000000035</c:v>
                </c:pt>
                <c:pt idx="23">
                  <c:v>-1.8500000000000034</c:v>
                </c:pt>
                <c:pt idx="24">
                  <c:v>-1.8000000000000034</c:v>
                </c:pt>
                <c:pt idx="25">
                  <c:v>-1.7500000000000033</c:v>
                </c:pt>
                <c:pt idx="26">
                  <c:v>-1.7000000000000033</c:v>
                </c:pt>
                <c:pt idx="27">
                  <c:v>-1.6500000000000032</c:v>
                </c:pt>
                <c:pt idx="28">
                  <c:v>-1.6000000000000032</c:v>
                </c:pt>
                <c:pt idx="29">
                  <c:v>-1.5500000000000032</c:v>
                </c:pt>
                <c:pt idx="30">
                  <c:v>-1.5000000000000031</c:v>
                </c:pt>
                <c:pt idx="31">
                  <c:v>-1.4500000000000031</c:v>
                </c:pt>
                <c:pt idx="32">
                  <c:v>-1.400000000000003</c:v>
                </c:pt>
                <c:pt idx="33">
                  <c:v>-1.350000000000003</c:v>
                </c:pt>
                <c:pt idx="34">
                  <c:v>-1.3000000000000029</c:v>
                </c:pt>
                <c:pt idx="35">
                  <c:v>-1.2500000000000029</c:v>
                </c:pt>
                <c:pt idx="36">
                  <c:v>-1.2000000000000028</c:v>
                </c:pt>
                <c:pt idx="37">
                  <c:v>-1.1500000000000028</c:v>
                </c:pt>
                <c:pt idx="38">
                  <c:v>-1.1000000000000028</c:v>
                </c:pt>
                <c:pt idx="39">
                  <c:v>-1.0500000000000027</c:v>
                </c:pt>
                <c:pt idx="40">
                  <c:v>-1.0000000000000027</c:v>
                </c:pt>
                <c:pt idx="41">
                  <c:v>-0.95000000000000262</c:v>
                </c:pt>
                <c:pt idx="42">
                  <c:v>-0.90000000000000258</c:v>
                </c:pt>
                <c:pt idx="43">
                  <c:v>-0.85000000000000253</c:v>
                </c:pt>
                <c:pt idx="44">
                  <c:v>-0.80000000000000249</c:v>
                </c:pt>
                <c:pt idx="45">
                  <c:v>-0.75000000000000244</c:v>
                </c:pt>
                <c:pt idx="46">
                  <c:v>-0.7000000000000024</c:v>
                </c:pt>
                <c:pt idx="47">
                  <c:v>-0.65000000000000235</c:v>
                </c:pt>
                <c:pt idx="48">
                  <c:v>-0.60000000000000231</c:v>
                </c:pt>
                <c:pt idx="49">
                  <c:v>-0.55000000000000226</c:v>
                </c:pt>
                <c:pt idx="50">
                  <c:v>-0.50000000000000222</c:v>
                </c:pt>
                <c:pt idx="51">
                  <c:v>-0.45000000000000223</c:v>
                </c:pt>
                <c:pt idx="52">
                  <c:v>-0.40000000000000224</c:v>
                </c:pt>
                <c:pt idx="53">
                  <c:v>-0.35000000000000225</c:v>
                </c:pt>
                <c:pt idx="54">
                  <c:v>-0.30000000000000226</c:v>
                </c:pt>
                <c:pt idx="55">
                  <c:v>-0.25000000000000228</c:v>
                </c:pt>
                <c:pt idx="56">
                  <c:v>-0.20000000000000229</c:v>
                </c:pt>
                <c:pt idx="57">
                  <c:v>-0.1500000000000023</c:v>
                </c:pt>
                <c:pt idx="58">
                  <c:v>-0.1000000000000023</c:v>
                </c:pt>
                <c:pt idx="59">
                  <c:v>-5.0000000000002293E-2</c:v>
                </c:pt>
                <c:pt idx="60">
                  <c:v>-2.2898349882893854E-15</c:v>
                </c:pt>
                <c:pt idx="61">
                  <c:v>4.9999999999997713E-2</c:v>
                </c:pt>
                <c:pt idx="62">
                  <c:v>9.9999999999997716E-2</c:v>
                </c:pt>
                <c:pt idx="63">
                  <c:v>0.14999999999999772</c:v>
                </c:pt>
                <c:pt idx="64">
                  <c:v>0.19999999999999774</c:v>
                </c:pt>
                <c:pt idx="65">
                  <c:v>0.24999999999999772</c:v>
                </c:pt>
                <c:pt idx="66">
                  <c:v>0.29999999999999771</c:v>
                </c:pt>
                <c:pt idx="67">
                  <c:v>0.3499999999999977</c:v>
                </c:pt>
                <c:pt idx="68">
                  <c:v>0.39999999999999769</c:v>
                </c:pt>
                <c:pt idx="69">
                  <c:v>0.44999999999999768</c:v>
                </c:pt>
                <c:pt idx="70">
                  <c:v>0.49999999999999767</c:v>
                </c:pt>
                <c:pt idx="71">
                  <c:v>0.54999999999999771</c:v>
                </c:pt>
                <c:pt idx="72">
                  <c:v>0.59999999999999776</c:v>
                </c:pt>
                <c:pt idx="73">
                  <c:v>0.6499999999999978</c:v>
                </c:pt>
                <c:pt idx="74">
                  <c:v>0.69999999999999785</c:v>
                </c:pt>
                <c:pt idx="75">
                  <c:v>0.74999999999999789</c:v>
                </c:pt>
                <c:pt idx="76">
                  <c:v>0.79999999999999793</c:v>
                </c:pt>
                <c:pt idx="77">
                  <c:v>0.84999999999999798</c:v>
                </c:pt>
                <c:pt idx="78">
                  <c:v>0.89999999999999802</c:v>
                </c:pt>
                <c:pt idx="79">
                  <c:v>0.94999999999999807</c:v>
                </c:pt>
                <c:pt idx="80">
                  <c:v>0.99999999999999811</c:v>
                </c:pt>
                <c:pt idx="81">
                  <c:v>1.049999999999998</c:v>
                </c:pt>
                <c:pt idx="82">
                  <c:v>1.0999999999999981</c:v>
                </c:pt>
                <c:pt idx="83">
                  <c:v>1.1499999999999981</c:v>
                </c:pt>
                <c:pt idx="84">
                  <c:v>1.1999999999999982</c:v>
                </c:pt>
                <c:pt idx="85">
                  <c:v>1.2499999999999982</c:v>
                </c:pt>
                <c:pt idx="86">
                  <c:v>1.2999999999999983</c:v>
                </c:pt>
                <c:pt idx="87">
                  <c:v>1.3499999999999983</c:v>
                </c:pt>
                <c:pt idx="88">
                  <c:v>1.3999999999999984</c:v>
                </c:pt>
                <c:pt idx="89">
                  <c:v>1.4499999999999984</c:v>
                </c:pt>
                <c:pt idx="90">
                  <c:v>1.4999999999999984</c:v>
                </c:pt>
                <c:pt idx="91">
                  <c:v>1.5499999999999985</c:v>
                </c:pt>
                <c:pt idx="92">
                  <c:v>1.5999999999999985</c:v>
                </c:pt>
                <c:pt idx="93">
                  <c:v>1.6499999999999986</c:v>
                </c:pt>
                <c:pt idx="94">
                  <c:v>1.6999999999999986</c:v>
                </c:pt>
                <c:pt idx="95">
                  <c:v>1.7499999999999987</c:v>
                </c:pt>
                <c:pt idx="96">
                  <c:v>1.7999999999999987</c:v>
                </c:pt>
                <c:pt idx="97">
                  <c:v>1.8499999999999988</c:v>
                </c:pt>
                <c:pt idx="98">
                  <c:v>1.8999999999999988</c:v>
                </c:pt>
                <c:pt idx="99">
                  <c:v>1.9499999999999988</c:v>
                </c:pt>
                <c:pt idx="100">
                  <c:v>1.9999999999999989</c:v>
                </c:pt>
                <c:pt idx="101">
                  <c:v>2.0499999999999989</c:v>
                </c:pt>
                <c:pt idx="102">
                  <c:v>2.0999999999999988</c:v>
                </c:pt>
                <c:pt idx="103">
                  <c:v>2.1499999999999986</c:v>
                </c:pt>
                <c:pt idx="104">
                  <c:v>2.1999999999999984</c:v>
                </c:pt>
                <c:pt idx="105">
                  <c:v>2.2499999999999982</c:v>
                </c:pt>
                <c:pt idx="106">
                  <c:v>2.299999999999998</c:v>
                </c:pt>
                <c:pt idx="107">
                  <c:v>2.3499999999999979</c:v>
                </c:pt>
                <c:pt idx="108">
                  <c:v>2.3999999999999977</c:v>
                </c:pt>
                <c:pt idx="109">
                  <c:v>2.4499999999999975</c:v>
                </c:pt>
                <c:pt idx="110">
                  <c:v>2.4999999999999973</c:v>
                </c:pt>
                <c:pt idx="111">
                  <c:v>2.5499999999999972</c:v>
                </c:pt>
                <c:pt idx="112">
                  <c:v>2.599999999999997</c:v>
                </c:pt>
                <c:pt idx="113">
                  <c:v>2.6499999999999968</c:v>
                </c:pt>
                <c:pt idx="114">
                  <c:v>2.6999999999999966</c:v>
                </c:pt>
                <c:pt idx="115">
                  <c:v>2.7499999999999964</c:v>
                </c:pt>
                <c:pt idx="116">
                  <c:v>2.7999999999999963</c:v>
                </c:pt>
                <c:pt idx="117">
                  <c:v>2.8499999999999961</c:v>
                </c:pt>
                <c:pt idx="118">
                  <c:v>2.8999999999999959</c:v>
                </c:pt>
                <c:pt idx="119">
                  <c:v>2.9499999999999957</c:v>
                </c:pt>
                <c:pt idx="120">
                  <c:v>2.9999999999999956</c:v>
                </c:pt>
                <c:pt idx="121">
                  <c:v>3.0499999999999954</c:v>
                </c:pt>
                <c:pt idx="122">
                  <c:v>3.0999999999999952</c:v>
                </c:pt>
              </c:numCache>
            </c:numRef>
          </c:xVal>
          <c:yVal>
            <c:numRef>
              <c:f>Distributions!$C$768:$C$890</c:f>
              <c:numCache>
                <c:formatCode>0.000</c:formatCode>
                <c:ptCount val="123"/>
                <c:pt idx="0">
                  <c:v>4.4318484119380075E-3</c:v>
                </c:pt>
                <c:pt idx="1">
                  <c:v>5.1426409230539392E-3</c:v>
                </c:pt>
                <c:pt idx="2">
                  <c:v>5.9525324197758486E-3</c:v>
                </c:pt>
                <c:pt idx="3">
                  <c:v>6.8727666906139651E-3</c:v>
                </c:pt>
                <c:pt idx="4">
                  <c:v>7.915451582979946E-3</c:v>
                </c:pt>
                <c:pt idx="5">
                  <c:v>9.0935625015910286E-3</c:v>
                </c:pt>
                <c:pt idx="6">
                  <c:v>1.0420934814422567E-2</c:v>
                </c:pt>
                <c:pt idx="7">
                  <c:v>1.1912243607605141E-2</c:v>
                </c:pt>
                <c:pt idx="8">
                  <c:v>1.3582969233685566E-2</c:v>
                </c:pt>
                <c:pt idx="9">
                  <c:v>1.5449347134395107E-2</c:v>
                </c:pt>
                <c:pt idx="10">
                  <c:v>1.7528300493568461E-2</c:v>
                </c:pt>
                <c:pt idx="11">
                  <c:v>1.9837354391795233E-2</c:v>
                </c:pt>
                <c:pt idx="12">
                  <c:v>2.2394530294842781E-2</c:v>
                </c:pt>
                <c:pt idx="13">
                  <c:v>2.5218219915194261E-2</c:v>
                </c:pt>
                <c:pt idx="14">
                  <c:v>2.8327037741601009E-2</c:v>
                </c:pt>
                <c:pt idx="15">
                  <c:v>3.1739651835667224E-2</c:v>
                </c:pt>
                <c:pt idx="16">
                  <c:v>3.5474592846231216E-2</c:v>
                </c:pt>
                <c:pt idx="17">
                  <c:v>3.9550041589369964E-2</c:v>
                </c:pt>
                <c:pt idx="18">
                  <c:v>4.39835959804269E-2</c:v>
                </c:pt>
                <c:pt idx="19">
                  <c:v>4.8792018579182417E-2</c:v>
                </c:pt>
                <c:pt idx="20">
                  <c:v>5.3990966513187674E-2</c:v>
                </c:pt>
                <c:pt idx="21">
                  <c:v>5.9594706068815666E-2</c:v>
                </c:pt>
                <c:pt idx="22">
                  <c:v>6.5615814774676165E-2</c:v>
                </c:pt>
                <c:pt idx="23">
                  <c:v>7.2064874336217541E-2</c:v>
                </c:pt>
                <c:pt idx="24">
                  <c:v>7.8950158300893677E-2</c:v>
                </c:pt>
                <c:pt idx="25">
                  <c:v>8.6277318826511032E-2</c:v>
                </c:pt>
                <c:pt idx="26">
                  <c:v>9.4049077376886406E-2</c:v>
                </c:pt>
                <c:pt idx="27">
                  <c:v>0.10226492456397746</c:v>
                </c:pt>
                <c:pt idx="28">
                  <c:v>0.11092083467945499</c:v>
                </c:pt>
                <c:pt idx="29">
                  <c:v>0.12000900069698503</c:v>
                </c:pt>
                <c:pt idx="30">
                  <c:v>0.12951759566589113</c:v>
                </c:pt>
                <c:pt idx="31">
                  <c:v>0.13943056644535964</c:v>
                </c:pt>
                <c:pt idx="32">
                  <c:v>0.14972746563574424</c:v>
                </c:pt>
                <c:pt idx="33">
                  <c:v>0.16038332734191896</c:v>
                </c:pt>
                <c:pt idx="34">
                  <c:v>0.17136859204780672</c:v>
                </c:pt>
                <c:pt idx="35">
                  <c:v>0.18264908538902128</c:v>
                </c:pt>
                <c:pt idx="36">
                  <c:v>0.19418605498321231</c:v>
                </c:pt>
                <c:pt idx="37">
                  <c:v>0.20593626871997409</c:v>
                </c:pt>
                <c:pt idx="38">
                  <c:v>0.21785217703254989</c:v>
                </c:pt>
                <c:pt idx="39">
                  <c:v>0.22988214068423238</c:v>
                </c:pt>
                <c:pt idx="40">
                  <c:v>0.2419707245191427</c:v>
                </c:pt>
                <c:pt idx="41">
                  <c:v>0.25405905646918836</c:v>
                </c:pt>
                <c:pt idx="42">
                  <c:v>0.26608524989875421</c:v>
                </c:pt>
                <c:pt idx="43">
                  <c:v>0.27798488613099587</c:v>
                </c:pt>
                <c:pt idx="44">
                  <c:v>0.28969155276148217</c:v>
                </c:pt>
                <c:pt idx="45">
                  <c:v>0.30113743215480387</c:v>
                </c:pt>
                <c:pt idx="46">
                  <c:v>0.31225393336676072</c:v>
                </c:pt>
                <c:pt idx="47">
                  <c:v>0.32297235966791382</c:v>
                </c:pt>
                <c:pt idx="48">
                  <c:v>0.33322460289179923</c:v>
                </c:pt>
                <c:pt idx="49">
                  <c:v>0.34294385501938346</c:v>
                </c:pt>
                <c:pt idx="50">
                  <c:v>0.35206532676429914</c:v>
                </c:pt>
                <c:pt idx="51">
                  <c:v>0.36052696246164762</c:v>
                </c:pt>
                <c:pt idx="52">
                  <c:v>0.368270140303323</c:v>
                </c:pt>
                <c:pt idx="53">
                  <c:v>0.37524034691693758</c:v>
                </c:pt>
                <c:pt idx="54">
                  <c:v>0.38138781546052386</c:v>
                </c:pt>
                <c:pt idx="55">
                  <c:v>0.38666811680284902</c:v>
                </c:pt>
                <c:pt idx="56">
                  <c:v>0.39104269397545571</c:v>
                </c:pt>
                <c:pt idx="57">
                  <c:v>0.39447933090788878</c:v>
                </c:pt>
                <c:pt idx="58">
                  <c:v>0.3969525474770117</c:v>
                </c:pt>
                <c:pt idx="59">
                  <c:v>0.39844391409476398</c:v>
                </c:pt>
                <c:pt idx="60">
                  <c:v>0.3989422804014327</c:v>
                </c:pt>
                <c:pt idx="61">
                  <c:v>0.3984439140947641</c:v>
                </c:pt>
                <c:pt idx="62">
                  <c:v>0.39695254747701186</c:v>
                </c:pt>
                <c:pt idx="63">
                  <c:v>0.39447933090788906</c:v>
                </c:pt>
                <c:pt idx="64">
                  <c:v>0.39104269397545605</c:v>
                </c:pt>
                <c:pt idx="65">
                  <c:v>0.38666811680284946</c:v>
                </c:pt>
                <c:pt idx="66">
                  <c:v>0.38138781546052436</c:v>
                </c:pt>
                <c:pt idx="67">
                  <c:v>0.37524034691693819</c:v>
                </c:pt>
                <c:pt idx="68">
                  <c:v>0.36827014030332367</c:v>
                </c:pt>
                <c:pt idx="69">
                  <c:v>0.36052696246164834</c:v>
                </c:pt>
                <c:pt idx="70">
                  <c:v>0.35206532676429991</c:v>
                </c:pt>
                <c:pt idx="71">
                  <c:v>0.34294385501938435</c:v>
                </c:pt>
                <c:pt idx="72">
                  <c:v>0.33322460289180011</c:v>
                </c:pt>
                <c:pt idx="73">
                  <c:v>0.32297235966791477</c:v>
                </c:pt>
                <c:pt idx="74">
                  <c:v>0.31225393336676177</c:v>
                </c:pt>
                <c:pt idx="75">
                  <c:v>0.30113743215480487</c:v>
                </c:pt>
                <c:pt idx="76">
                  <c:v>0.28969155276148323</c:v>
                </c:pt>
                <c:pt idx="77">
                  <c:v>0.27798488613099692</c:v>
                </c:pt>
                <c:pt idx="78">
                  <c:v>0.26608524989875532</c:v>
                </c:pt>
                <c:pt idx="79">
                  <c:v>0.25405905646918947</c:v>
                </c:pt>
                <c:pt idx="80">
                  <c:v>0.24197072451914381</c:v>
                </c:pt>
                <c:pt idx="81">
                  <c:v>0.22988214068423349</c:v>
                </c:pt>
                <c:pt idx="82">
                  <c:v>0.21785217703255103</c:v>
                </c:pt>
                <c:pt idx="83">
                  <c:v>0.20593626871997517</c:v>
                </c:pt>
                <c:pt idx="84">
                  <c:v>0.19418605498321337</c:v>
                </c:pt>
                <c:pt idx="85">
                  <c:v>0.18264908538902233</c:v>
                </c:pt>
                <c:pt idx="86">
                  <c:v>0.17136859204780774</c:v>
                </c:pt>
                <c:pt idx="87">
                  <c:v>0.16038332734191996</c:v>
                </c:pt>
                <c:pt idx="88">
                  <c:v>0.14972746563574521</c:v>
                </c:pt>
                <c:pt idx="89">
                  <c:v>0.13943056644536062</c:v>
                </c:pt>
                <c:pt idx="90">
                  <c:v>0.12951759566589202</c:v>
                </c:pt>
                <c:pt idx="91">
                  <c:v>0.12000900069698586</c:v>
                </c:pt>
                <c:pt idx="92">
                  <c:v>0.11092083467945583</c:v>
                </c:pt>
                <c:pt idx="93">
                  <c:v>0.10226492456397825</c:v>
                </c:pt>
                <c:pt idx="94">
                  <c:v>9.4049077376887155E-2</c:v>
                </c:pt>
                <c:pt idx="95">
                  <c:v>8.6277318826511712E-2</c:v>
                </c:pt>
                <c:pt idx="96">
                  <c:v>7.8950158300894344E-2</c:v>
                </c:pt>
                <c:pt idx="97">
                  <c:v>7.2064874336218165E-2</c:v>
                </c:pt>
                <c:pt idx="98">
                  <c:v>6.5615814774676734E-2</c:v>
                </c:pt>
                <c:pt idx="99">
                  <c:v>5.9594706068816207E-2</c:v>
                </c:pt>
                <c:pt idx="100">
                  <c:v>5.3990966513188167E-2</c:v>
                </c:pt>
                <c:pt idx="101">
                  <c:v>4.8792018579182875E-2</c:v>
                </c:pt>
                <c:pt idx="102">
                  <c:v>4.3983595980427309E-2</c:v>
                </c:pt>
                <c:pt idx="103">
                  <c:v>3.9550041589370331E-2</c:v>
                </c:pt>
                <c:pt idx="104">
                  <c:v>3.547459284623157E-2</c:v>
                </c:pt>
                <c:pt idx="105">
                  <c:v>3.173965183566755E-2</c:v>
                </c:pt>
                <c:pt idx="106">
                  <c:v>2.8327037741601297E-2</c:v>
                </c:pt>
                <c:pt idx="107">
                  <c:v>2.5218219915194514E-2</c:v>
                </c:pt>
                <c:pt idx="108">
                  <c:v>2.2394530294843017E-2</c:v>
                </c:pt>
                <c:pt idx="109">
                  <c:v>1.9837354391795441E-2</c:v>
                </c:pt>
                <c:pt idx="110">
                  <c:v>1.7528300493568655E-2</c:v>
                </c:pt>
                <c:pt idx="111">
                  <c:v>1.5449347134395285E-2</c:v>
                </c:pt>
                <c:pt idx="112">
                  <c:v>1.3582969233685722E-2</c:v>
                </c:pt>
                <c:pt idx="113">
                  <c:v>1.191224360760528E-2</c:v>
                </c:pt>
                <c:pt idx="114">
                  <c:v>1.0420934814422692E-2</c:v>
                </c:pt>
                <c:pt idx="115">
                  <c:v>9.0935625015911431E-3</c:v>
                </c:pt>
                <c:pt idx="116">
                  <c:v>7.9154515829800449E-3</c:v>
                </c:pt>
                <c:pt idx="117">
                  <c:v>6.872766690614051E-3</c:v>
                </c:pt>
                <c:pt idx="118">
                  <c:v>5.9525324197759223E-3</c:v>
                </c:pt>
                <c:pt idx="119">
                  <c:v>5.1426409230540026E-3</c:v>
                </c:pt>
                <c:pt idx="120">
                  <c:v>4.4318484119380665E-3</c:v>
                </c:pt>
                <c:pt idx="121">
                  <c:v>3.8097620982218612E-3</c:v>
                </c:pt>
                <c:pt idx="122">
                  <c:v>3.2668190561999681E-3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0A01-44BC-BBE7-7BAEA07F09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12585216"/>
        <c:axId val="1"/>
      </c:scatterChart>
      <c:valAx>
        <c:axId val="4125852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412585216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1400" b="0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Distributions!$H$553:$H$675</c:f>
              <c:numCache>
                <c:formatCode>0.00</c:formatCode>
                <c:ptCount val="123"/>
                <c:pt idx="0">
                  <c:v>-1.7180258738522558</c:v>
                </c:pt>
                <c:pt idx="1">
                  <c:v>-1.6898615152645138</c:v>
                </c:pt>
                <c:pt idx="2">
                  <c:v>-1.661697156676772</c:v>
                </c:pt>
                <c:pt idx="3">
                  <c:v>-1.63353279808903</c:v>
                </c:pt>
                <c:pt idx="4">
                  <c:v>-1.6053684395012882</c:v>
                </c:pt>
                <c:pt idx="5">
                  <c:v>-1.5772040809135464</c:v>
                </c:pt>
                <c:pt idx="6">
                  <c:v>-1.5490397223258043</c:v>
                </c:pt>
                <c:pt idx="7">
                  <c:v>-1.5208753637380625</c:v>
                </c:pt>
                <c:pt idx="8">
                  <c:v>-1.4927110051503205</c:v>
                </c:pt>
                <c:pt idx="9">
                  <c:v>-1.4645466465625787</c:v>
                </c:pt>
                <c:pt idx="10">
                  <c:v>-1.4363822879748369</c:v>
                </c:pt>
                <c:pt idx="11">
                  <c:v>-1.4082179293870949</c:v>
                </c:pt>
                <c:pt idx="12">
                  <c:v>-1.3800535707993531</c:v>
                </c:pt>
                <c:pt idx="13">
                  <c:v>-1.3518892122116111</c:v>
                </c:pt>
                <c:pt idx="14">
                  <c:v>-1.3237248536238693</c:v>
                </c:pt>
                <c:pt idx="15">
                  <c:v>-1.2955604950361275</c:v>
                </c:pt>
                <c:pt idx="16">
                  <c:v>-1.2673961364483854</c:v>
                </c:pt>
                <c:pt idx="17">
                  <c:v>-1.2392317778606436</c:v>
                </c:pt>
                <c:pt idx="18">
                  <c:v>-1.2110674192729016</c:v>
                </c:pt>
                <c:pt idx="19">
                  <c:v>-1.1829030606851598</c:v>
                </c:pt>
                <c:pt idx="20">
                  <c:v>-1.154738702097418</c:v>
                </c:pt>
                <c:pt idx="21">
                  <c:v>-1.126574343509676</c:v>
                </c:pt>
                <c:pt idx="22">
                  <c:v>-1.0984099849219342</c:v>
                </c:pt>
                <c:pt idx="23">
                  <c:v>-1.0702456263341922</c:v>
                </c:pt>
                <c:pt idx="24">
                  <c:v>-1.0420812677464504</c:v>
                </c:pt>
                <c:pt idx="25">
                  <c:v>-1.0139169091587086</c:v>
                </c:pt>
                <c:pt idx="26">
                  <c:v>-0.98575255057096667</c:v>
                </c:pt>
                <c:pt idx="27">
                  <c:v>-0.95758819198322476</c:v>
                </c:pt>
                <c:pt idx="28">
                  <c:v>-0.92942383339548285</c:v>
                </c:pt>
                <c:pt idx="29">
                  <c:v>-0.90125947480774093</c:v>
                </c:pt>
                <c:pt idx="30">
                  <c:v>-0.87309511621999902</c:v>
                </c:pt>
                <c:pt idx="31">
                  <c:v>-0.84493075763225722</c:v>
                </c:pt>
                <c:pt idx="32">
                  <c:v>-0.81676639904451531</c:v>
                </c:pt>
                <c:pt idx="33">
                  <c:v>-0.7886020404567734</c:v>
                </c:pt>
                <c:pt idx="34">
                  <c:v>-0.76043768186903149</c:v>
                </c:pt>
                <c:pt idx="35">
                  <c:v>-0.73227332328128958</c:v>
                </c:pt>
                <c:pt idx="36">
                  <c:v>-0.70410896469354778</c:v>
                </c:pt>
                <c:pt idx="37">
                  <c:v>-0.67594460610580587</c:v>
                </c:pt>
                <c:pt idx="38">
                  <c:v>-0.64778024751806396</c:v>
                </c:pt>
                <c:pt idx="39">
                  <c:v>-0.61961588893032205</c:v>
                </c:pt>
                <c:pt idx="40">
                  <c:v>-0.59145153034258013</c:v>
                </c:pt>
                <c:pt idx="41">
                  <c:v>-0.56328717175483833</c:v>
                </c:pt>
                <c:pt idx="42">
                  <c:v>-0.53512281316709642</c:v>
                </c:pt>
                <c:pt idx="43">
                  <c:v>-0.50695845457935451</c:v>
                </c:pt>
                <c:pt idx="44">
                  <c:v>-0.4787940959916126</c:v>
                </c:pt>
                <c:pt idx="45">
                  <c:v>-0.45062973740387074</c:v>
                </c:pt>
                <c:pt idx="46">
                  <c:v>-0.42246537881612883</c:v>
                </c:pt>
                <c:pt idx="47">
                  <c:v>-0.39430102022838692</c:v>
                </c:pt>
                <c:pt idx="48">
                  <c:v>-0.36613666164064507</c:v>
                </c:pt>
                <c:pt idx="49">
                  <c:v>-0.33797230305290316</c:v>
                </c:pt>
                <c:pt idx="50">
                  <c:v>-0.3098079444651613</c:v>
                </c:pt>
                <c:pt idx="51">
                  <c:v>-0.28164358587741939</c:v>
                </c:pt>
                <c:pt idx="52">
                  <c:v>-0.25347922728967748</c:v>
                </c:pt>
                <c:pt idx="53">
                  <c:v>-0.22531486870193562</c:v>
                </c:pt>
                <c:pt idx="54">
                  <c:v>-0.19715051011419371</c:v>
                </c:pt>
                <c:pt idx="55">
                  <c:v>-0.16898615152645183</c:v>
                </c:pt>
                <c:pt idx="56">
                  <c:v>-0.14082179293870994</c:v>
                </c:pt>
                <c:pt idx="57">
                  <c:v>-0.11265743435096806</c:v>
                </c:pt>
                <c:pt idx="58">
                  <c:v>-8.4493075763226164E-2</c:v>
                </c:pt>
                <c:pt idx="59">
                  <c:v>-5.632871717548428E-2</c:v>
                </c:pt>
                <c:pt idx="60">
                  <c:v>-2.816435858774239E-2</c:v>
                </c:pt>
                <c:pt idx="61">
                  <c:v>-5.0029951004656661E-16</c:v>
                </c:pt>
                <c:pt idx="62">
                  <c:v>2.8164358587741387E-2</c:v>
                </c:pt>
                <c:pt idx="63">
                  <c:v>5.6328717175483281E-2</c:v>
                </c:pt>
                <c:pt idx="64">
                  <c:v>8.4493075763225164E-2</c:v>
                </c:pt>
                <c:pt idx="65">
                  <c:v>0.11265743435096706</c:v>
                </c:pt>
                <c:pt idx="66">
                  <c:v>0.14082179293870895</c:v>
                </c:pt>
                <c:pt idx="67">
                  <c:v>0.16898615152645083</c:v>
                </c:pt>
                <c:pt idx="68">
                  <c:v>0.19715051011419271</c:v>
                </c:pt>
                <c:pt idx="69">
                  <c:v>0.22531486870193462</c:v>
                </c:pt>
                <c:pt idx="70">
                  <c:v>0.25347922728967648</c:v>
                </c:pt>
                <c:pt idx="71">
                  <c:v>0.28164358587741839</c:v>
                </c:pt>
                <c:pt idx="72">
                  <c:v>0.3098079444651603</c:v>
                </c:pt>
                <c:pt idx="73">
                  <c:v>0.33797230305290216</c:v>
                </c:pt>
                <c:pt idx="74">
                  <c:v>0.36613666164064407</c:v>
                </c:pt>
                <c:pt idx="75">
                  <c:v>0.39430102022838592</c:v>
                </c:pt>
                <c:pt idx="76">
                  <c:v>0.42246537881612783</c:v>
                </c:pt>
                <c:pt idx="77">
                  <c:v>0.45062973740386975</c:v>
                </c:pt>
                <c:pt idx="78">
                  <c:v>0.4787940959916116</c:v>
                </c:pt>
                <c:pt idx="79">
                  <c:v>0.50695845457935351</c:v>
                </c:pt>
                <c:pt idx="80">
                  <c:v>0.53512281316709542</c:v>
                </c:pt>
                <c:pt idx="81">
                  <c:v>0.56328717175483722</c:v>
                </c:pt>
                <c:pt idx="82">
                  <c:v>0.59145153034257913</c:v>
                </c:pt>
                <c:pt idx="83">
                  <c:v>0.61961588893032105</c:v>
                </c:pt>
                <c:pt idx="84">
                  <c:v>0.64778024751806296</c:v>
                </c:pt>
                <c:pt idx="85">
                  <c:v>0.67594460610580487</c:v>
                </c:pt>
                <c:pt idx="86">
                  <c:v>0.70410896469354667</c:v>
                </c:pt>
                <c:pt idx="87">
                  <c:v>0.73227332328128858</c:v>
                </c:pt>
                <c:pt idx="88">
                  <c:v>0.76043768186903049</c:v>
                </c:pt>
                <c:pt idx="89">
                  <c:v>0.7886020404567724</c:v>
                </c:pt>
                <c:pt idx="90">
                  <c:v>0.81676639904451431</c:v>
                </c:pt>
                <c:pt idx="91">
                  <c:v>0.84493075763225622</c:v>
                </c:pt>
                <c:pt idx="92">
                  <c:v>0.87309511621999802</c:v>
                </c:pt>
                <c:pt idx="93">
                  <c:v>0.90125947480773994</c:v>
                </c:pt>
                <c:pt idx="94">
                  <c:v>0.92942383339548185</c:v>
                </c:pt>
                <c:pt idx="95">
                  <c:v>0.95758819198322376</c:v>
                </c:pt>
                <c:pt idx="96">
                  <c:v>0.98575255057096567</c:v>
                </c:pt>
                <c:pt idx="97">
                  <c:v>1.0139169091587075</c:v>
                </c:pt>
                <c:pt idx="98">
                  <c:v>1.0420812677464495</c:v>
                </c:pt>
                <c:pt idx="99">
                  <c:v>1.0702456263341913</c:v>
                </c:pt>
                <c:pt idx="100">
                  <c:v>1.0984099849219331</c:v>
                </c:pt>
                <c:pt idx="101">
                  <c:v>1.1265743435096751</c:v>
                </c:pt>
                <c:pt idx="102">
                  <c:v>1.1547387020974169</c:v>
                </c:pt>
                <c:pt idx="103">
                  <c:v>1.1829030606851589</c:v>
                </c:pt>
                <c:pt idx="104">
                  <c:v>1.2110674192729007</c:v>
                </c:pt>
                <c:pt idx="105">
                  <c:v>1.2392317778606425</c:v>
                </c:pt>
                <c:pt idx="106">
                  <c:v>1.2673961364483846</c:v>
                </c:pt>
                <c:pt idx="107">
                  <c:v>1.2955604950361264</c:v>
                </c:pt>
                <c:pt idx="108">
                  <c:v>1.3237248536238684</c:v>
                </c:pt>
                <c:pt idx="109">
                  <c:v>1.3518892122116102</c:v>
                </c:pt>
                <c:pt idx="110">
                  <c:v>1.380053570799352</c:v>
                </c:pt>
                <c:pt idx="111">
                  <c:v>1.4082179293870944</c:v>
                </c:pt>
                <c:pt idx="112">
                  <c:v>1.4363822879748369</c:v>
                </c:pt>
                <c:pt idx="113">
                  <c:v>1.4645466465625792</c:v>
                </c:pt>
                <c:pt idx="114">
                  <c:v>1.4927110051503216</c:v>
                </c:pt>
                <c:pt idx="115">
                  <c:v>1.5208753637380641</c:v>
                </c:pt>
                <c:pt idx="116">
                  <c:v>1.5490397223258063</c:v>
                </c:pt>
                <c:pt idx="117">
                  <c:v>1.5772040809135488</c:v>
                </c:pt>
                <c:pt idx="118">
                  <c:v>1.6053684395012913</c:v>
                </c:pt>
                <c:pt idx="119">
                  <c:v>1.6335327980890335</c:v>
                </c:pt>
                <c:pt idx="120">
                  <c:v>1.661697156676776</c:v>
                </c:pt>
                <c:pt idx="121">
                  <c:v>1.6898615152645184</c:v>
                </c:pt>
                <c:pt idx="122">
                  <c:v>1.7180258738522607</c:v>
                </c:pt>
              </c:numCache>
            </c:numRef>
          </c:xVal>
          <c:yVal>
            <c:numRef>
              <c:f>Distributions!$I$553:$I$675</c:f>
              <c:numCache>
                <c:formatCode>0.0000</c:formatCode>
                <c:ptCount val="123"/>
                <c:pt idx="0">
                  <c:v>3.6678880124196545E-3</c:v>
                </c:pt>
                <c:pt idx="1">
                  <c:v>3.9298476800607354E-3</c:v>
                </c:pt>
                <c:pt idx="2">
                  <c:v>4.2599364522851258E-3</c:v>
                </c:pt>
                <c:pt idx="3">
                  <c:v>4.6527186841252071E-3</c:v>
                </c:pt>
                <c:pt idx="4">
                  <c:v>5.1022478238290248E-3</c:v>
                </c:pt>
                <c:pt idx="5">
                  <c:v>5.6021358649405032E-3</c:v>
                </c:pt>
                <c:pt idx="6">
                  <c:v>6.145625834600375E-3</c:v>
                </c:pt>
                <c:pt idx="7">
                  <c:v>6.7256665336896827E-3</c:v>
                </c:pt>
                <c:pt idx="8">
                  <c:v>7.3349887374707821E-3</c:v>
                </c:pt>
                <c:pt idx="9">
                  <c:v>7.9661820664583497E-3</c:v>
                </c:pt>
                <c:pt idx="10">
                  <c:v>8.6117717462048504E-3</c:v>
                </c:pt>
                <c:pt idx="11">
                  <c:v>9.2642944912659699E-3</c:v>
                </c:pt>
                <c:pt idx="12">
                  <c:v>9.9163727725049122E-3</c:v>
                </c:pt>
                <c:pt idx="13">
                  <c:v>1.0560786757716619E-2</c:v>
                </c:pt>
                <c:pt idx="14">
                  <c:v>1.1190543252858835E-2</c:v>
                </c:pt>
                <c:pt idx="15">
                  <c:v>1.1798941014465318E-2</c:v>
                </c:pt>
                <c:pt idx="16">
                  <c:v>1.2379631852536481E-2</c:v>
                </c:pt>
                <c:pt idx="17">
                  <c:v>1.2926676996759938E-2</c:v>
                </c:pt>
                <c:pt idx="18">
                  <c:v>1.3434598256676995E-2</c:v>
                </c:pt>
                <c:pt idx="19">
                  <c:v>1.3898423567720737E-2</c:v>
                </c:pt>
                <c:pt idx="20">
                  <c:v>1.4313726579223845E-2</c:v>
                </c:pt>
                <c:pt idx="21">
                  <c:v>1.4676660006832517E-2</c:v>
                </c:pt>
                <c:pt idx="22">
                  <c:v>1.4983982539560263E-2</c:v>
                </c:pt>
                <c:pt idx="23">
                  <c:v>1.5233079160266401E-2</c:v>
                </c:pt>
                <c:pt idx="24">
                  <c:v>1.542197480694861E-2</c:v>
                </c:pt>
                <c:pt idx="25">
                  <c:v>1.5549341370210237E-2</c:v>
                </c:pt>
                <c:pt idx="26">
                  <c:v>1.5614498088935126E-2</c:v>
                </c:pt>
                <c:pt idx="27">
                  <c:v>1.5617405470934563E-2</c:v>
                </c:pt>
                <c:pt idx="28">
                  <c:v>1.5558652927514582E-2</c:v>
                </c:pt>
                <c:pt idx="29">
                  <c:v>1.543944036997642E-2</c:v>
                </c:pt>
                <c:pt idx="30">
                  <c:v>1.5261554071479689E-2</c:v>
                </c:pt>
                <c:pt idx="31">
                  <c:v>1.5027337148986046E-2</c:v>
                </c:pt>
                <c:pt idx="32">
                  <c:v>1.4739655066729239E-2</c:v>
                </c:pt>
                <c:pt idx="33">
                  <c:v>1.4401856604449745E-2</c:v>
                </c:pt>
                <c:pt idx="34">
                  <c:v>1.4017730770168059E-2</c:v>
                </c:pt>
                <c:pt idx="35">
                  <c:v>1.3591460168289899E-2</c:v>
                </c:pt>
                <c:pt idx="36">
                  <c:v>1.3127571359137868E-2</c:v>
                </c:pt>
                <c:pt idx="37">
                  <c:v>1.2630882765448263E-2</c:v>
                </c:pt>
                <c:pt idx="38">
                  <c:v>1.2106450694880229E-2</c:v>
                </c:pt>
                <c:pt idx="39">
                  <c:v>1.1559514055140106E-2</c:v>
                </c:pt>
                <c:pt idx="40">
                  <c:v>1.0995438339968654E-2</c:v>
                </c:pt>
                <c:pt idx="41">
                  <c:v>1.0419659460074018E-2</c:v>
                </c:pt>
                <c:pt idx="42">
                  <c:v>9.8376279832747115E-3</c:v>
                </c:pt>
                <c:pt idx="43">
                  <c:v>9.2547543328554121E-3</c:v>
                </c:pt>
                <c:pt idx="44">
                  <c:v>8.6763554726936448E-3</c:v>
                </c:pt>
                <c:pt idx="45">
                  <c:v>8.1076035823945455E-3</c:v>
                </c:pt>
                <c:pt idx="46">
                  <c:v>7.5534771958236224E-3</c:v>
                </c:pt>
                <c:pt idx="47">
                  <c:v>7.0187152424411991E-3</c:v>
                </c:pt>
                <c:pt idx="48">
                  <c:v>6.5077743931389155E-3</c:v>
                </c:pt>
                <c:pt idx="49">
                  <c:v>6.0247900713083571E-3</c:v>
                </c:pt>
                <c:pt idx="50">
                  <c:v>5.5735414461087649E-3</c:v>
                </c:pt>
                <c:pt idx="51">
                  <c:v>5.1574206788372401E-3</c:v>
                </c:pt>
                <c:pt idx="52">
                  <c:v>4.7794066454468469E-3</c:v>
                </c:pt>
                <c:pt idx="53">
                  <c:v>4.4420433091191336E-3</c:v>
                </c:pt>
                <c:pt idx="54">
                  <c:v>4.1474228668941845E-3</c:v>
                </c:pt>
                <c:pt idx="55">
                  <c:v>3.8971737442070526E-3</c:v>
                </c:pt>
                <c:pt idx="56">
                  <c:v>3.6924534612805572E-3</c:v>
                </c:pt>
                <c:pt idx="57">
                  <c:v>3.5339463461742265E-3</c:v>
                </c:pt>
                <c:pt idx="58">
                  <c:v>3.421866021364029E-3</c:v>
                </c:pt>
                <c:pt idx="59">
                  <c:v>3.3559625444820121E-3</c:v>
                </c:pt>
                <c:pt idx="60">
                  <c:v>3.3355340397077898E-3</c:v>
                </c:pt>
                <c:pt idx="61">
                  <c:v>3.3594426146742891E-3</c:v>
                </c:pt>
                <c:pt idx="62">
                  <c:v>3.426134318994559E-3</c:v>
                </c:pt>
                <c:pt idx="63">
                  <c:v>3.5336628649649789E-3</c:v>
                </c:pt>
                <c:pt idx="64">
                  <c:v>3.6797167989448096E-3</c:v>
                </c:pt>
                <c:pt idx="65">
                  <c:v>3.8616497836035475E-3</c:v>
                </c:pt>
                <c:pt idx="66">
                  <c:v>4.0765136268747972E-3</c:v>
                </c:pt>
                <c:pt idx="67">
                  <c:v>4.3210936732232339E-3</c:v>
                </c:pt>
                <c:pt idx="68">
                  <c:v>4.591946156840299E-3</c:v>
                </c:pt>
                <c:pt idx="69">
                  <c:v>4.8854371047103162E-3</c:v>
                </c:pt>
                <c:pt idx="70">
                  <c:v>5.1977823701629183E-3</c:v>
                </c:pt>
                <c:pt idx="71">
                  <c:v>5.5250883745370741E-3</c:v>
                </c:pt>
                <c:pt idx="72">
                  <c:v>5.8633931358707406E-3</c:v>
                </c:pt>
                <c:pt idx="73">
                  <c:v>6.2087071690004611E-3</c:v>
                </c:pt>
                <c:pt idx="74">
                  <c:v>6.5570538509698581E-3</c:v>
                </c:pt>
                <c:pt idx="75">
                  <c:v>6.904508859029536E-3</c:v>
                </c:pt>
                <c:pt idx="76">
                  <c:v>7.2472383055532368E-3</c:v>
                </c:pt>
                <c:pt idx="77">
                  <c:v>7.5815352146535262E-3</c:v>
                </c:pt>
                <c:pt idx="78">
                  <c:v>7.9038540088824799E-3</c:v>
                </c:pt>
                <c:pt idx="79">
                  <c:v>8.21084270085113E-3</c:v>
                </c:pt>
                <c:pt idx="80">
                  <c:v>8.4993725135748526E-3</c:v>
                </c:pt>
                <c:pt idx="81">
                  <c:v>8.766564684511197E-3</c:v>
                </c:pt>
                <c:pt idx="82">
                  <c:v>9.0098142412470862E-3</c:v>
                </c:pt>
                <c:pt idx="83">
                  <c:v>9.2268105712481844E-3</c:v>
                </c:pt>
                <c:pt idx="84">
                  <c:v>9.4155546436309797E-3</c:v>
                </c:pt>
                <c:pt idx="85">
                  <c:v>9.5743727771813725E-3</c:v>
                </c:pt>
                <c:pt idx="86">
                  <c:v>9.7019268854452393E-3</c:v>
                </c:pt>
                <c:pt idx="87">
                  <c:v>9.7972211662849373E-3</c:v>
                </c:pt>
                <c:pt idx="88">
                  <c:v>9.8596052394654566E-3</c:v>
                </c:pt>
                <c:pt idx="89">
                  <c:v>9.8887737712521281E-3</c:v>
                </c:pt>
                <c:pt idx="90">
                  <c:v>9.884762659329107E-3</c:v>
                </c:pt>
                <c:pt idx="91">
                  <c:v>9.8479418842629413E-3</c:v>
                </c:pt>
                <c:pt idx="92">
                  <c:v>9.7790051649376247E-3</c:v>
                </c:pt>
                <c:pt idx="93">
                  <c:v>9.6789565845986601E-3</c:v>
                </c:pt>
                <c:pt idx="94">
                  <c:v>9.5490943811115062E-3</c:v>
                </c:pt>
                <c:pt idx="95">
                  <c:v>9.3909921195391554E-3</c:v>
                </c:pt>
                <c:pt idx="96">
                  <c:v>9.2064774869788837E-3</c:v>
                </c:pt>
                <c:pt idx="97">
                  <c:v>8.9976089686036338E-3</c:v>
                </c:pt>
                <c:pt idx="98">
                  <c:v>8.7666506798955574E-3</c:v>
                </c:pt>
                <c:pt idx="99">
                  <c:v>8.5160456430360704E-3</c:v>
                </c:pt>
                <c:pt idx="100">
                  <c:v>8.2483878052596049E-3</c:v>
                </c:pt>
                <c:pt idx="101">
                  <c:v>7.9663931036505868E-3</c:v>
                </c:pt>
                <c:pt idx="102">
                  <c:v>7.6728698843614206E-3</c:v>
                </c:pt>
                <c:pt idx="103">
                  <c:v>7.3706889845809812E-3</c:v>
                </c:pt>
                <c:pt idx="104">
                  <c:v>7.0627537828474333E-3</c:v>
                </c:pt>
                <c:pt idx="105">
                  <c:v>6.7519705175642696E-3</c:v>
                </c:pt>
                <c:pt idx="106">
                  <c:v>6.4412191649612788E-3</c:v>
                </c:pt>
                <c:pt idx="107">
                  <c:v>6.1333251563855601E-3</c:v>
                </c:pt>
                <c:pt idx="108">
                  <c:v>5.8310322008797615E-3</c:v>
                </c:pt>
                <c:pt idx="109">
                  <c:v>5.5369764626951624E-3</c:v>
                </c:pt>
                <c:pt idx="110">
                  <c:v>5.2536623249064543E-3</c:v>
                </c:pt>
                <c:pt idx="111">
                  <c:v>4.9834399498704706E-3</c:v>
                </c:pt>
                <c:pt idx="112">
                  <c:v>4.7284848251455229E-3</c:v>
                </c:pt>
                <c:pt idx="113">
                  <c:v>4.4907794599158357E-3</c:v>
                </c:pt>
                <c:pt idx="114">
                  <c:v>4.2720973722113181E-3</c:v>
                </c:pt>
                <c:pt idx="115">
                  <c:v>4.0739894815470523E-3</c:v>
                </c:pt>
                <c:pt idx="116">
                  <c:v>3.8977729953040175E-3</c:v>
                </c:pt>
                <c:pt idx="117">
                  <c:v>3.7445228505081194E-3</c:v>
                </c:pt>
                <c:pt idx="118">
                  <c:v>3.6150657459120801E-3</c:v>
                </c:pt>
                <c:pt idx="119">
                  <c:v>3.5099767727132356E-3</c:v>
                </c:pt>
                <c:pt idx="120">
                  <c:v>3.4295786261116547E-3</c:v>
                </c:pt>
                <c:pt idx="121">
                  <c:v>3.3739433544795979E-3</c:v>
                </c:pt>
                <c:pt idx="122">
                  <c:v>3.3428965784153665E-3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A024-40DF-8A14-62A3531A1F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12982104"/>
        <c:axId val="1"/>
      </c:scatterChart>
      <c:valAx>
        <c:axId val="4129821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412982104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Distributions!$A$553:$A$675</c:f>
              <c:numCache>
                <c:formatCode>0.00</c:formatCode>
                <c:ptCount val="1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-1.3263447939576132</c:v>
                </c:pt>
                <c:pt idx="35">
                  <c:v>-1.2772209126999237</c:v>
                </c:pt>
                <c:pt idx="36">
                  <c:v>-1.2280970314422344</c:v>
                </c:pt>
                <c:pt idx="37">
                  <c:v>-1.1789731501845451</c:v>
                </c:pt>
                <c:pt idx="38">
                  <c:v>-1.129849268926856</c:v>
                </c:pt>
                <c:pt idx="39">
                  <c:v>-1.0807253876691665</c:v>
                </c:pt>
                <c:pt idx="40">
                  <c:v>-1.0316015064114767</c:v>
                </c:pt>
                <c:pt idx="41">
                  <c:v>-0.98247762515378811</c:v>
                </c:pt>
                <c:pt idx="42">
                  <c:v>-0.93335374389609838</c:v>
                </c:pt>
                <c:pt idx="43">
                  <c:v>-0.88422986263840864</c:v>
                </c:pt>
                <c:pt idx="44">
                  <c:v>-0.83510598138071934</c:v>
                </c:pt>
                <c:pt idx="45">
                  <c:v>-0.78598210012303049</c:v>
                </c:pt>
                <c:pt idx="46">
                  <c:v>-0.73685821886534075</c:v>
                </c:pt>
                <c:pt idx="47">
                  <c:v>-0.6877343376076519</c:v>
                </c:pt>
                <c:pt idx="48">
                  <c:v>-0.63861045634996261</c:v>
                </c:pt>
                <c:pt idx="49">
                  <c:v>-0.58948657509227287</c:v>
                </c:pt>
                <c:pt idx="50">
                  <c:v>-0.54036269383458357</c:v>
                </c:pt>
                <c:pt idx="51">
                  <c:v>-0.49123881257689428</c:v>
                </c:pt>
                <c:pt idx="52">
                  <c:v>-0.44211493131920498</c:v>
                </c:pt>
                <c:pt idx="53">
                  <c:v>-0.39299105006151525</c:v>
                </c:pt>
                <c:pt idx="54">
                  <c:v>-0.3438671688038264</c:v>
                </c:pt>
                <c:pt idx="55">
                  <c:v>-0.2947432875461371</c:v>
                </c:pt>
                <c:pt idx="56">
                  <c:v>-0.24561940628844736</c:v>
                </c:pt>
                <c:pt idx="57">
                  <c:v>-0.19649552503075807</c:v>
                </c:pt>
                <c:pt idx="58">
                  <c:v>-0.14737164377306877</c:v>
                </c:pt>
                <c:pt idx="59">
                  <c:v>-9.8247762515379478E-2</c:v>
                </c:pt>
                <c:pt idx="60">
                  <c:v>-4.9123881257690627E-2</c:v>
                </c:pt>
                <c:pt idx="61">
                  <c:v>0</c:v>
                </c:pt>
                <c:pt idx="62">
                  <c:v>4.9123881257687962E-2</c:v>
                </c:pt>
                <c:pt idx="63">
                  <c:v>9.8247762515378145E-2</c:v>
                </c:pt>
                <c:pt idx="64">
                  <c:v>0.14737164377306744</c:v>
                </c:pt>
                <c:pt idx="65">
                  <c:v>0.19649552503075629</c:v>
                </c:pt>
                <c:pt idx="66">
                  <c:v>0.24561940628844603</c:v>
                </c:pt>
                <c:pt idx="67">
                  <c:v>0.29474328754613488</c:v>
                </c:pt>
                <c:pt idx="68">
                  <c:v>0.34386716880382462</c:v>
                </c:pt>
                <c:pt idx="69">
                  <c:v>0.39299105006151347</c:v>
                </c:pt>
                <c:pt idx="70">
                  <c:v>0.44211493131920321</c:v>
                </c:pt>
                <c:pt idx="71">
                  <c:v>0.49123881257689206</c:v>
                </c:pt>
                <c:pt idx="72">
                  <c:v>0.5403626938345818</c:v>
                </c:pt>
                <c:pt idx="73">
                  <c:v>0.58948657509227154</c:v>
                </c:pt>
                <c:pt idx="74">
                  <c:v>0.63861045634996083</c:v>
                </c:pt>
                <c:pt idx="75">
                  <c:v>0.68773433760765013</c:v>
                </c:pt>
                <c:pt idx="76">
                  <c:v>0.73685821886533898</c:v>
                </c:pt>
                <c:pt idx="77">
                  <c:v>0.78598210012302916</c:v>
                </c:pt>
                <c:pt idx="78">
                  <c:v>0.83510598138071757</c:v>
                </c:pt>
                <c:pt idx="79">
                  <c:v>0.8842298626384073</c:v>
                </c:pt>
                <c:pt idx="80">
                  <c:v>0.93335374389609704</c:v>
                </c:pt>
                <c:pt idx="81">
                  <c:v>0.98247762515378545</c:v>
                </c:pt>
                <c:pt idx="82">
                  <c:v>1.0316015064114756</c:v>
                </c:pt>
                <c:pt idx="83">
                  <c:v>1.0807253876691645</c:v>
                </c:pt>
                <c:pt idx="84">
                  <c:v>1.1298492689268533</c:v>
                </c:pt>
                <c:pt idx="85">
                  <c:v>1.1789731501845431</c:v>
                </c:pt>
                <c:pt idx="86">
                  <c:v>1.2280970314422328</c:v>
                </c:pt>
                <c:pt idx="87">
                  <c:v>1.2772209126999226</c:v>
                </c:pt>
                <c:pt idx="88">
                  <c:v>1.3263447939576105</c:v>
                </c:pt>
                <c:pt idx="89">
                  <c:v>1.3754686752153011</c:v>
                </c:pt>
                <c:pt idx="90">
                  <c:v>1.42459255647299</c:v>
                </c:pt>
                <c:pt idx="91">
                  <c:v>1.4737164377306788</c:v>
                </c:pt>
                <c:pt idx="92">
                  <c:v>1.5228403189883686</c:v>
                </c:pt>
                <c:pt idx="93">
                  <c:v>1.5719642002460583</c:v>
                </c:pt>
                <c:pt idx="94">
                  <c:v>1.6210880815037481</c:v>
                </c:pt>
                <c:pt idx="95">
                  <c:v>1.670211962761436</c:v>
                </c:pt>
                <c:pt idx="96">
                  <c:v>1.7193358440191266</c:v>
                </c:pt>
                <c:pt idx="97">
                  <c:v>1.7684597252768146</c:v>
                </c:pt>
                <c:pt idx="98">
                  <c:v>1.8175836065345043</c:v>
                </c:pt>
                <c:pt idx="99">
                  <c:v>1.866707487792195</c:v>
                </c:pt>
                <c:pt idx="100">
                  <c:v>1.9158313690498838</c:v>
                </c:pt>
                <c:pt idx="101">
                  <c:v>1.9649552503075727</c:v>
                </c:pt>
                <c:pt idx="102">
                  <c:v>2.0140791315652615</c:v>
                </c:pt>
                <c:pt idx="103">
                  <c:v>2.0632030128229522</c:v>
                </c:pt>
                <c:pt idx="104">
                  <c:v>2.112326894080641</c:v>
                </c:pt>
                <c:pt idx="105">
                  <c:v>2.1614507753383299</c:v>
                </c:pt>
                <c:pt idx="106">
                  <c:v>2.2105746565960187</c:v>
                </c:pt>
                <c:pt idx="107">
                  <c:v>2.2596985378537093</c:v>
                </c:pt>
                <c:pt idx="108">
                  <c:v>2.3088224191113991</c:v>
                </c:pt>
                <c:pt idx="109">
                  <c:v>2.357946300369087</c:v>
                </c:pt>
                <c:pt idx="110">
                  <c:v>2.4070701816267768</c:v>
                </c:pt>
                <c:pt idx="111">
                  <c:v>2.4561940628844674</c:v>
                </c:pt>
                <c:pt idx="112">
                  <c:v>2.5053179441421571</c:v>
                </c:pt>
                <c:pt idx="113">
                  <c:v>2.5544418253998478</c:v>
                </c:pt>
                <c:pt idx="114">
                  <c:v>2.6035657066575375</c:v>
                </c:pt>
                <c:pt idx="115">
                  <c:v>2.6526895879152281</c:v>
                </c:pt>
                <c:pt idx="116">
                  <c:v>2.7018134691729179</c:v>
                </c:pt>
                <c:pt idx="117">
                  <c:v>2.7509373504306076</c:v>
                </c:pt>
                <c:pt idx="118">
                  <c:v>2.8000612316882991</c:v>
                </c:pt>
                <c:pt idx="119">
                  <c:v>2.849185112945988</c:v>
                </c:pt>
                <c:pt idx="120">
                  <c:v>2.8983089942036795</c:v>
                </c:pt>
                <c:pt idx="121">
                  <c:v>2.9474328754613692</c:v>
                </c:pt>
                <c:pt idx="122">
                  <c:v>2.9965567567190581</c:v>
                </c:pt>
              </c:numCache>
            </c:numRef>
          </c:xVal>
          <c:yVal>
            <c:numRef>
              <c:f>Distributions!$B$553:$B$675</c:f>
              <c:numCache>
                <c:formatCode>0.00</c:formatCode>
                <c:ptCount val="123"/>
                <c:pt idx="0">
                  <c:v>3.6678880124196545E-3</c:v>
                </c:pt>
                <c:pt idx="1">
                  <c:v>3.9298476800607354E-3</c:v>
                </c:pt>
                <c:pt idx="2">
                  <c:v>4.2599364522851258E-3</c:v>
                </c:pt>
                <c:pt idx="3">
                  <c:v>4.6527186841252071E-3</c:v>
                </c:pt>
                <c:pt idx="4">
                  <c:v>5.1022478238290248E-3</c:v>
                </c:pt>
                <c:pt idx="5">
                  <c:v>5.6021358649405032E-3</c:v>
                </c:pt>
                <c:pt idx="6">
                  <c:v>6.145625834600375E-3</c:v>
                </c:pt>
                <c:pt idx="7">
                  <c:v>6.7256665336896827E-3</c:v>
                </c:pt>
                <c:pt idx="8">
                  <c:v>7.3349887374707821E-3</c:v>
                </c:pt>
                <c:pt idx="9">
                  <c:v>7.9661820664583497E-3</c:v>
                </c:pt>
                <c:pt idx="10">
                  <c:v>8.6117717462048504E-3</c:v>
                </c:pt>
                <c:pt idx="11">
                  <c:v>9.2642944912659699E-3</c:v>
                </c:pt>
                <c:pt idx="12">
                  <c:v>9.9163727725049122E-3</c:v>
                </c:pt>
                <c:pt idx="13">
                  <c:v>1.0560786757716619E-2</c:v>
                </c:pt>
                <c:pt idx="14">
                  <c:v>1.1190543252858835E-2</c:v>
                </c:pt>
                <c:pt idx="15">
                  <c:v>1.1798941014465318E-2</c:v>
                </c:pt>
                <c:pt idx="16">
                  <c:v>1.2379631852536481E-2</c:v>
                </c:pt>
                <c:pt idx="17">
                  <c:v>1.2926676996759938E-2</c:v>
                </c:pt>
                <c:pt idx="18">
                  <c:v>1.3434598256676995E-2</c:v>
                </c:pt>
                <c:pt idx="19">
                  <c:v>1.3898423567720737E-2</c:v>
                </c:pt>
                <c:pt idx="20">
                  <c:v>1.4313726579223845E-2</c:v>
                </c:pt>
                <c:pt idx="21">
                  <c:v>1.4676660006832517E-2</c:v>
                </c:pt>
                <c:pt idx="22">
                  <c:v>1.4983982539560263E-2</c:v>
                </c:pt>
                <c:pt idx="23">
                  <c:v>1.5233079160266401E-2</c:v>
                </c:pt>
                <c:pt idx="24">
                  <c:v>1.542197480694861E-2</c:v>
                </c:pt>
                <c:pt idx="25">
                  <c:v>1.5549341370210237E-2</c:v>
                </c:pt>
                <c:pt idx="26">
                  <c:v>1.5614498088935126E-2</c:v>
                </c:pt>
                <c:pt idx="27">
                  <c:v>1.5617405470934563E-2</c:v>
                </c:pt>
                <c:pt idx="28">
                  <c:v>1.5558652927514582E-2</c:v>
                </c:pt>
                <c:pt idx="29">
                  <c:v>1.543944036997642E-2</c:v>
                </c:pt>
                <c:pt idx="30">
                  <c:v>1.5261554071479689E-2</c:v>
                </c:pt>
                <c:pt idx="31">
                  <c:v>1.5027337148986046E-2</c:v>
                </c:pt>
                <c:pt idx="32">
                  <c:v>1.4739655066729239E-2</c:v>
                </c:pt>
                <c:pt idx="33">
                  <c:v>1.4401856604449745E-2</c:v>
                </c:pt>
                <c:pt idx="34">
                  <c:v>1.4017730770168059E-2</c:v>
                </c:pt>
                <c:pt idx="35">
                  <c:v>1.3591460168289899E-2</c:v>
                </c:pt>
                <c:pt idx="36">
                  <c:v>1.3127571359137868E-2</c:v>
                </c:pt>
                <c:pt idx="37">
                  <c:v>1.2630882765448263E-2</c:v>
                </c:pt>
                <c:pt idx="38">
                  <c:v>1.2106450694880229E-2</c:v>
                </c:pt>
                <c:pt idx="39">
                  <c:v>1.1559514055140106E-2</c:v>
                </c:pt>
                <c:pt idx="40">
                  <c:v>1.0995438339968654E-2</c:v>
                </c:pt>
                <c:pt idx="41">
                  <c:v>1.0419659460074018E-2</c:v>
                </c:pt>
                <c:pt idx="42">
                  <c:v>9.8376279832747115E-3</c:v>
                </c:pt>
                <c:pt idx="43">
                  <c:v>9.2547543328554121E-3</c:v>
                </c:pt>
                <c:pt idx="44">
                  <c:v>8.6763554726936448E-3</c:v>
                </c:pt>
                <c:pt idx="45">
                  <c:v>8.1076035823945455E-3</c:v>
                </c:pt>
                <c:pt idx="46">
                  <c:v>7.5534771958236224E-3</c:v>
                </c:pt>
                <c:pt idx="47">
                  <c:v>7.0187152424411991E-3</c:v>
                </c:pt>
                <c:pt idx="48">
                  <c:v>6.5077743931389155E-3</c:v>
                </c:pt>
                <c:pt idx="49">
                  <c:v>6.0247900713083571E-3</c:v>
                </c:pt>
                <c:pt idx="50">
                  <c:v>5.5735414461087649E-3</c:v>
                </c:pt>
                <c:pt idx="51">
                  <c:v>5.1574206788372401E-3</c:v>
                </c:pt>
                <c:pt idx="52">
                  <c:v>4.7794066454468469E-3</c:v>
                </c:pt>
                <c:pt idx="53">
                  <c:v>4.4420433091191336E-3</c:v>
                </c:pt>
                <c:pt idx="54">
                  <c:v>4.1474228668941845E-3</c:v>
                </c:pt>
                <c:pt idx="55">
                  <c:v>3.8971737442070526E-3</c:v>
                </c:pt>
                <c:pt idx="56">
                  <c:v>3.6924534612805572E-3</c:v>
                </c:pt>
                <c:pt idx="57">
                  <c:v>3.5339463461742265E-3</c:v>
                </c:pt>
                <c:pt idx="58">
                  <c:v>3.421866021364029E-3</c:v>
                </c:pt>
                <c:pt idx="59">
                  <c:v>3.3559625444820121E-3</c:v>
                </c:pt>
                <c:pt idx="60">
                  <c:v>3.3355340397077898E-3</c:v>
                </c:pt>
                <c:pt idx="61">
                  <c:v>3.3594426146742891E-3</c:v>
                </c:pt>
                <c:pt idx="62">
                  <c:v>3.426134318994559E-3</c:v>
                </c:pt>
                <c:pt idx="63">
                  <c:v>3.5336628649649789E-3</c:v>
                </c:pt>
                <c:pt idx="64">
                  <c:v>3.6797167989448096E-3</c:v>
                </c:pt>
                <c:pt idx="65">
                  <c:v>3.8616497836035475E-3</c:v>
                </c:pt>
                <c:pt idx="66">
                  <c:v>4.0765136268747972E-3</c:v>
                </c:pt>
                <c:pt idx="67">
                  <c:v>4.3210936732232339E-3</c:v>
                </c:pt>
                <c:pt idx="68">
                  <c:v>4.591946156840299E-3</c:v>
                </c:pt>
                <c:pt idx="69">
                  <c:v>4.8854371047103162E-3</c:v>
                </c:pt>
                <c:pt idx="70">
                  <c:v>5.1977823701629183E-3</c:v>
                </c:pt>
                <c:pt idx="71">
                  <c:v>5.5250883745370741E-3</c:v>
                </c:pt>
                <c:pt idx="72">
                  <c:v>5.8633931358707406E-3</c:v>
                </c:pt>
                <c:pt idx="73">
                  <c:v>6.2087071690004611E-3</c:v>
                </c:pt>
                <c:pt idx="74">
                  <c:v>6.5570538509698581E-3</c:v>
                </c:pt>
                <c:pt idx="75">
                  <c:v>6.904508859029536E-3</c:v>
                </c:pt>
                <c:pt idx="76">
                  <c:v>7.2472383055532368E-3</c:v>
                </c:pt>
                <c:pt idx="77">
                  <c:v>7.5815352146535262E-3</c:v>
                </c:pt>
                <c:pt idx="78">
                  <c:v>7.9038540088824799E-3</c:v>
                </c:pt>
                <c:pt idx="79">
                  <c:v>8.21084270085113E-3</c:v>
                </c:pt>
                <c:pt idx="80">
                  <c:v>8.4993725135748526E-3</c:v>
                </c:pt>
                <c:pt idx="81">
                  <c:v>8.766564684511197E-3</c:v>
                </c:pt>
                <c:pt idx="82">
                  <c:v>9.0098142412470862E-3</c:v>
                </c:pt>
                <c:pt idx="83">
                  <c:v>9.2268105712481844E-3</c:v>
                </c:pt>
                <c:pt idx="84">
                  <c:v>9.4155546436309797E-3</c:v>
                </c:pt>
                <c:pt idx="85">
                  <c:v>9.5743727771813725E-3</c:v>
                </c:pt>
                <c:pt idx="86">
                  <c:v>9.7019268854452393E-3</c:v>
                </c:pt>
                <c:pt idx="87">
                  <c:v>9.7972211662849373E-3</c:v>
                </c:pt>
                <c:pt idx="88">
                  <c:v>9.8596052394654566E-3</c:v>
                </c:pt>
                <c:pt idx="89">
                  <c:v>9.8887737712521281E-3</c:v>
                </c:pt>
                <c:pt idx="90">
                  <c:v>9.884762659329107E-3</c:v>
                </c:pt>
                <c:pt idx="91">
                  <c:v>9.8479418842629413E-3</c:v>
                </c:pt>
                <c:pt idx="92">
                  <c:v>9.7790051649376247E-3</c:v>
                </c:pt>
                <c:pt idx="93">
                  <c:v>9.6789565845986601E-3</c:v>
                </c:pt>
                <c:pt idx="94">
                  <c:v>9.5490943811115062E-3</c:v>
                </c:pt>
                <c:pt idx="95">
                  <c:v>9.3909921195391554E-3</c:v>
                </c:pt>
                <c:pt idx="96">
                  <c:v>9.2064774869788837E-3</c:v>
                </c:pt>
                <c:pt idx="97">
                  <c:v>8.9976089686036338E-3</c:v>
                </c:pt>
                <c:pt idx="98">
                  <c:v>8.7666506798955574E-3</c:v>
                </c:pt>
                <c:pt idx="99">
                  <c:v>8.5160456430360704E-3</c:v>
                </c:pt>
                <c:pt idx="100">
                  <c:v>8.2483878052596049E-3</c:v>
                </c:pt>
                <c:pt idx="101">
                  <c:v>7.9663931036505868E-3</c:v>
                </c:pt>
                <c:pt idx="102">
                  <c:v>7.6728698843614206E-3</c:v>
                </c:pt>
                <c:pt idx="103">
                  <c:v>7.3706889845809812E-3</c:v>
                </c:pt>
                <c:pt idx="104">
                  <c:v>7.0627537828474333E-3</c:v>
                </c:pt>
                <c:pt idx="105">
                  <c:v>6.7519705175642696E-3</c:v>
                </c:pt>
                <c:pt idx="106">
                  <c:v>6.4412191649612788E-3</c:v>
                </c:pt>
                <c:pt idx="107">
                  <c:v>6.1333251563855601E-3</c:v>
                </c:pt>
                <c:pt idx="108">
                  <c:v>5.8310322008797615E-3</c:v>
                </c:pt>
                <c:pt idx="109">
                  <c:v>5.5369764626951624E-3</c:v>
                </c:pt>
                <c:pt idx="110">
                  <c:v>5.2536623249064543E-3</c:v>
                </c:pt>
                <c:pt idx="111">
                  <c:v>4.9834399498704706E-3</c:v>
                </c:pt>
                <c:pt idx="112">
                  <c:v>4.7284848251455229E-3</c:v>
                </c:pt>
                <c:pt idx="113">
                  <c:v>4.4907794599158357E-3</c:v>
                </c:pt>
                <c:pt idx="114">
                  <c:v>4.2720973722113181E-3</c:v>
                </c:pt>
                <c:pt idx="115">
                  <c:v>4.0739894815470523E-3</c:v>
                </c:pt>
                <c:pt idx="116">
                  <c:v>3.8977729953040175E-3</c:v>
                </c:pt>
                <c:pt idx="117">
                  <c:v>3.7445228505081194E-3</c:v>
                </c:pt>
                <c:pt idx="118">
                  <c:v>3.6150657459120801E-3</c:v>
                </c:pt>
                <c:pt idx="119">
                  <c:v>3.5099767727132356E-3</c:v>
                </c:pt>
                <c:pt idx="120">
                  <c:v>3.4295786261116547E-3</c:v>
                </c:pt>
                <c:pt idx="121">
                  <c:v>3.3739433544795979E-3</c:v>
                </c:pt>
                <c:pt idx="122">
                  <c:v>3.3428965784153665E-3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2265-4300-972E-CB7C0A1699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12983744"/>
        <c:axId val="1"/>
      </c:scatterChart>
      <c:valAx>
        <c:axId val="4129837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412983744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1400" b="0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Distributions!$G$768:$G$890</c:f>
              <c:numCache>
                <c:formatCode>0.00</c:formatCode>
                <c:ptCount val="123"/>
                <c:pt idx="0">
                  <c:v>-2.996556756719051</c:v>
                </c:pt>
                <c:pt idx="1">
                  <c:v>-2.9474328754613612</c:v>
                </c:pt>
                <c:pt idx="2">
                  <c:v>-2.8983089942036719</c:v>
                </c:pt>
                <c:pt idx="3">
                  <c:v>-2.8491851129459826</c:v>
                </c:pt>
                <c:pt idx="4">
                  <c:v>-2.8000612316882934</c:v>
                </c:pt>
                <c:pt idx="5">
                  <c:v>-2.7509373504306041</c:v>
                </c:pt>
                <c:pt idx="6">
                  <c:v>-2.7018134691729148</c:v>
                </c:pt>
                <c:pt idx="7">
                  <c:v>-2.6526895879152255</c:v>
                </c:pt>
                <c:pt idx="8">
                  <c:v>-2.6035657066575357</c:v>
                </c:pt>
                <c:pt idx="9">
                  <c:v>-2.5544418253998469</c:v>
                </c:pt>
                <c:pt idx="10">
                  <c:v>-2.5053179441421576</c:v>
                </c:pt>
                <c:pt idx="11">
                  <c:v>-2.4561940628844678</c:v>
                </c:pt>
                <c:pt idx="12">
                  <c:v>-2.4070701816267785</c:v>
                </c:pt>
                <c:pt idx="13">
                  <c:v>-2.3579463003690893</c:v>
                </c:pt>
                <c:pt idx="14">
                  <c:v>-2.3088224191114</c:v>
                </c:pt>
                <c:pt idx="15">
                  <c:v>-2.2596985378537107</c:v>
                </c:pt>
                <c:pt idx="16">
                  <c:v>-2.2105746565960214</c:v>
                </c:pt>
                <c:pt idx="17">
                  <c:v>-2.1614507753383321</c:v>
                </c:pt>
                <c:pt idx="18">
                  <c:v>-2.1123268940806423</c:v>
                </c:pt>
                <c:pt idx="19">
                  <c:v>-2.063203012822953</c:v>
                </c:pt>
                <c:pt idx="20">
                  <c:v>-2.0140791315652642</c:v>
                </c:pt>
                <c:pt idx="21">
                  <c:v>-1.9649552503075745</c:v>
                </c:pt>
                <c:pt idx="22">
                  <c:v>-1.9158313690498852</c:v>
                </c:pt>
                <c:pt idx="23">
                  <c:v>-1.8667074877921956</c:v>
                </c:pt>
                <c:pt idx="24">
                  <c:v>-1.8175836065345063</c:v>
                </c:pt>
                <c:pt idx="25">
                  <c:v>-1.7684597252768173</c:v>
                </c:pt>
                <c:pt idx="26">
                  <c:v>-1.719335844019128</c:v>
                </c:pt>
                <c:pt idx="27">
                  <c:v>-1.6702119627614387</c:v>
                </c:pt>
                <c:pt idx="28">
                  <c:v>-1.6210880815037492</c:v>
                </c:pt>
                <c:pt idx="29">
                  <c:v>-1.5719642002460599</c:v>
                </c:pt>
                <c:pt idx="30">
                  <c:v>-1.5228403189883706</c:v>
                </c:pt>
                <c:pt idx="31">
                  <c:v>-1.4737164377306811</c:v>
                </c:pt>
                <c:pt idx="32">
                  <c:v>-1.4245925564729918</c:v>
                </c:pt>
                <c:pt idx="33">
                  <c:v>-1.3754686752153025</c:v>
                </c:pt>
                <c:pt idx="34">
                  <c:v>-1.3263447939576132</c:v>
                </c:pt>
                <c:pt idx="35">
                  <c:v>-1.2772209126999237</c:v>
                </c:pt>
                <c:pt idx="36">
                  <c:v>-1.2280970314422344</c:v>
                </c:pt>
                <c:pt idx="37">
                  <c:v>-1.1789731501845451</c:v>
                </c:pt>
                <c:pt idx="38">
                  <c:v>-1.129849268926856</c:v>
                </c:pt>
                <c:pt idx="39">
                  <c:v>-1.0807253876691665</c:v>
                </c:pt>
                <c:pt idx="40">
                  <c:v>-1.0316015064114767</c:v>
                </c:pt>
                <c:pt idx="41">
                  <c:v>-0.98247762515378811</c:v>
                </c:pt>
                <c:pt idx="42">
                  <c:v>-0.93335374389609838</c:v>
                </c:pt>
                <c:pt idx="43">
                  <c:v>-0.88422986263840864</c:v>
                </c:pt>
                <c:pt idx="44">
                  <c:v>-0.83510598138071934</c:v>
                </c:pt>
                <c:pt idx="45">
                  <c:v>-0.78598210012303049</c:v>
                </c:pt>
                <c:pt idx="46">
                  <c:v>-0.73685821886534075</c:v>
                </c:pt>
                <c:pt idx="47">
                  <c:v>-0.6877343376076519</c:v>
                </c:pt>
                <c:pt idx="48">
                  <c:v>-0.63861045634996261</c:v>
                </c:pt>
                <c:pt idx="49">
                  <c:v>-0.58948657509227287</c:v>
                </c:pt>
                <c:pt idx="50">
                  <c:v>-0.54036269383458357</c:v>
                </c:pt>
                <c:pt idx="51">
                  <c:v>-0.49123881257689428</c:v>
                </c:pt>
                <c:pt idx="52">
                  <c:v>-0.44211493131920498</c:v>
                </c:pt>
                <c:pt idx="53">
                  <c:v>-0.39299105006151525</c:v>
                </c:pt>
                <c:pt idx="54">
                  <c:v>-0.3438671688038264</c:v>
                </c:pt>
                <c:pt idx="55">
                  <c:v>-0.2947432875461371</c:v>
                </c:pt>
                <c:pt idx="56">
                  <c:v>-0.24561940628844736</c:v>
                </c:pt>
                <c:pt idx="57">
                  <c:v>-0.19649552503075807</c:v>
                </c:pt>
                <c:pt idx="58">
                  <c:v>-0.14737164377306877</c:v>
                </c:pt>
                <c:pt idx="59">
                  <c:v>-9.8247762515379478E-2</c:v>
                </c:pt>
                <c:pt idx="60">
                  <c:v>-4.9123881257690627E-2</c:v>
                </c:pt>
                <c:pt idx="61">
                  <c:v>0</c:v>
                </c:pt>
                <c:pt idx="62">
                  <c:v>4.9123881257687962E-2</c:v>
                </c:pt>
                <c:pt idx="63">
                  <c:v>9.8247762515378145E-2</c:v>
                </c:pt>
                <c:pt idx="64">
                  <c:v>0.14737164377306744</c:v>
                </c:pt>
                <c:pt idx="65">
                  <c:v>0.19649552503075629</c:v>
                </c:pt>
                <c:pt idx="66">
                  <c:v>0.24561940628844603</c:v>
                </c:pt>
                <c:pt idx="67">
                  <c:v>0.29474328754613488</c:v>
                </c:pt>
                <c:pt idx="68">
                  <c:v>0.34386716880382462</c:v>
                </c:pt>
                <c:pt idx="69">
                  <c:v>0.39299105006151347</c:v>
                </c:pt>
                <c:pt idx="70">
                  <c:v>0.44211493131920321</c:v>
                </c:pt>
                <c:pt idx="71">
                  <c:v>0.49123881257689206</c:v>
                </c:pt>
                <c:pt idx="72">
                  <c:v>0.5403626938345818</c:v>
                </c:pt>
                <c:pt idx="73">
                  <c:v>0.58948657509227154</c:v>
                </c:pt>
                <c:pt idx="74">
                  <c:v>0.63861045634996083</c:v>
                </c:pt>
                <c:pt idx="75">
                  <c:v>0.68773433760765013</c:v>
                </c:pt>
                <c:pt idx="76">
                  <c:v>0.73685821886533898</c:v>
                </c:pt>
                <c:pt idx="77">
                  <c:v>0.78598210012302916</c:v>
                </c:pt>
                <c:pt idx="78">
                  <c:v>0.83510598138071757</c:v>
                </c:pt>
                <c:pt idx="79">
                  <c:v>0.8842298626384073</c:v>
                </c:pt>
                <c:pt idx="80">
                  <c:v>0.93335374389609704</c:v>
                </c:pt>
                <c:pt idx="81">
                  <c:v>0.98247762515378545</c:v>
                </c:pt>
                <c:pt idx="82">
                  <c:v>1.0316015064114756</c:v>
                </c:pt>
                <c:pt idx="83">
                  <c:v>1.0807253876691645</c:v>
                </c:pt>
                <c:pt idx="84">
                  <c:v>1.1298492689268533</c:v>
                </c:pt>
                <c:pt idx="85">
                  <c:v>1.1789731501845431</c:v>
                </c:pt>
                <c:pt idx="86">
                  <c:v>1.2280970314422328</c:v>
                </c:pt>
                <c:pt idx="87">
                  <c:v>1.2772209126999226</c:v>
                </c:pt>
                <c:pt idx="88">
                  <c:v>1.3263447939576105</c:v>
                </c:pt>
                <c:pt idx="89">
                  <c:v>1.3754686752153011</c:v>
                </c:pt>
                <c:pt idx="90">
                  <c:v>1.42459255647299</c:v>
                </c:pt>
                <c:pt idx="91">
                  <c:v>1.4737164377306788</c:v>
                </c:pt>
                <c:pt idx="92">
                  <c:v>1.5228403189883686</c:v>
                </c:pt>
                <c:pt idx="93">
                  <c:v>1.5719642002460583</c:v>
                </c:pt>
                <c:pt idx="94">
                  <c:v>1.6210880815037481</c:v>
                </c:pt>
                <c:pt idx="95">
                  <c:v>1.670211962761436</c:v>
                </c:pt>
                <c:pt idx="96">
                  <c:v>1.7193358440191266</c:v>
                </c:pt>
                <c:pt idx="97">
                  <c:v>1.7684597252768146</c:v>
                </c:pt>
                <c:pt idx="98">
                  <c:v>1.8175836065345043</c:v>
                </c:pt>
                <c:pt idx="99">
                  <c:v>1.866707487792195</c:v>
                </c:pt>
                <c:pt idx="100">
                  <c:v>1.9158313690498838</c:v>
                </c:pt>
                <c:pt idx="101">
                  <c:v>1.9649552503075727</c:v>
                </c:pt>
                <c:pt idx="102">
                  <c:v>2.0140791315652615</c:v>
                </c:pt>
                <c:pt idx="103">
                  <c:v>2.0632030128229522</c:v>
                </c:pt>
                <c:pt idx="104">
                  <c:v>2.112326894080641</c:v>
                </c:pt>
                <c:pt idx="105">
                  <c:v>2.1614507753383299</c:v>
                </c:pt>
                <c:pt idx="106">
                  <c:v>2.2105746565960187</c:v>
                </c:pt>
                <c:pt idx="107">
                  <c:v>2.2596985378537093</c:v>
                </c:pt>
                <c:pt idx="108">
                  <c:v>2.3088224191113991</c:v>
                </c:pt>
                <c:pt idx="109">
                  <c:v>2.357946300369087</c:v>
                </c:pt>
                <c:pt idx="110">
                  <c:v>2.4070701816267768</c:v>
                </c:pt>
                <c:pt idx="111">
                  <c:v>2.4561940628844674</c:v>
                </c:pt>
                <c:pt idx="112">
                  <c:v>2.5053179441421571</c:v>
                </c:pt>
                <c:pt idx="113">
                  <c:v>2.5544418253998478</c:v>
                </c:pt>
                <c:pt idx="114">
                  <c:v>2.6035657066575375</c:v>
                </c:pt>
                <c:pt idx="115">
                  <c:v>2.6526895879152281</c:v>
                </c:pt>
                <c:pt idx="116">
                  <c:v>2.7018134691729179</c:v>
                </c:pt>
                <c:pt idx="117">
                  <c:v>2.7509373504306076</c:v>
                </c:pt>
                <c:pt idx="118">
                  <c:v>2.8000612316882991</c:v>
                </c:pt>
                <c:pt idx="119">
                  <c:v>2.849185112945988</c:v>
                </c:pt>
                <c:pt idx="120">
                  <c:v>2.8983089942036795</c:v>
                </c:pt>
                <c:pt idx="121">
                  <c:v>2.9474328754613692</c:v>
                </c:pt>
                <c:pt idx="122">
                  <c:v>2.9965567567190581</c:v>
                </c:pt>
              </c:numCache>
            </c:numRef>
          </c:xVal>
          <c:yVal>
            <c:numRef>
              <c:f>Distributions!$H$768:$H$890</c:f>
              <c:numCache>
                <c:formatCode>0.00</c:formatCode>
                <c:ptCount val="123"/>
                <c:pt idx="0">
                  <c:v>3.6678880124196545E-3</c:v>
                </c:pt>
                <c:pt idx="1">
                  <c:v>3.9298476800607354E-3</c:v>
                </c:pt>
                <c:pt idx="2">
                  <c:v>4.2599364522851258E-3</c:v>
                </c:pt>
                <c:pt idx="3">
                  <c:v>4.6527186841252071E-3</c:v>
                </c:pt>
                <c:pt idx="4">
                  <c:v>5.1022478238290248E-3</c:v>
                </c:pt>
                <c:pt idx="5">
                  <c:v>5.6021358649405032E-3</c:v>
                </c:pt>
                <c:pt idx="6">
                  <c:v>6.145625834600375E-3</c:v>
                </c:pt>
                <c:pt idx="7">
                  <c:v>6.7256665336896827E-3</c:v>
                </c:pt>
                <c:pt idx="8">
                  <c:v>7.3349887374707821E-3</c:v>
                </c:pt>
                <c:pt idx="9">
                  <c:v>7.9661820664583497E-3</c:v>
                </c:pt>
                <c:pt idx="10">
                  <c:v>8.6117717462048504E-3</c:v>
                </c:pt>
                <c:pt idx="11">
                  <c:v>9.2642944912659699E-3</c:v>
                </c:pt>
                <c:pt idx="12">
                  <c:v>9.9163727725049122E-3</c:v>
                </c:pt>
                <c:pt idx="13">
                  <c:v>1.0560786757716619E-2</c:v>
                </c:pt>
                <c:pt idx="14">
                  <c:v>1.1190543252858835E-2</c:v>
                </c:pt>
                <c:pt idx="15">
                  <c:v>1.1798941014465318E-2</c:v>
                </c:pt>
                <c:pt idx="16">
                  <c:v>1.2379631852536481E-2</c:v>
                </c:pt>
                <c:pt idx="17">
                  <c:v>1.2926676996759938E-2</c:v>
                </c:pt>
                <c:pt idx="18">
                  <c:v>1.3434598256676995E-2</c:v>
                </c:pt>
                <c:pt idx="19">
                  <c:v>1.3898423567720737E-2</c:v>
                </c:pt>
                <c:pt idx="20">
                  <c:v>1.4313726579223845E-2</c:v>
                </c:pt>
                <c:pt idx="21">
                  <c:v>1.4676660006832517E-2</c:v>
                </c:pt>
                <c:pt idx="22">
                  <c:v>1.4983982539560263E-2</c:v>
                </c:pt>
                <c:pt idx="23">
                  <c:v>1.5233079160266401E-2</c:v>
                </c:pt>
                <c:pt idx="24">
                  <c:v>1.542197480694861E-2</c:v>
                </c:pt>
                <c:pt idx="25">
                  <c:v>1.5549341370210237E-2</c:v>
                </c:pt>
                <c:pt idx="26">
                  <c:v>1.5614498088935126E-2</c:v>
                </c:pt>
                <c:pt idx="27">
                  <c:v>1.5617405470934563E-2</c:v>
                </c:pt>
                <c:pt idx="28">
                  <c:v>1.5558652927514582E-2</c:v>
                </c:pt>
                <c:pt idx="29">
                  <c:v>1.543944036997642E-2</c:v>
                </c:pt>
                <c:pt idx="30">
                  <c:v>1.5261554071479689E-2</c:v>
                </c:pt>
                <c:pt idx="31">
                  <c:v>1.5027337148986046E-2</c:v>
                </c:pt>
                <c:pt idx="32">
                  <c:v>1.4739655066729239E-2</c:v>
                </c:pt>
                <c:pt idx="33">
                  <c:v>1.4401856604449745E-2</c:v>
                </c:pt>
                <c:pt idx="34">
                  <c:v>1.4017730770168059E-2</c:v>
                </c:pt>
                <c:pt idx="35">
                  <c:v>1.3591460168289899E-2</c:v>
                </c:pt>
                <c:pt idx="36">
                  <c:v>1.3127571359137868E-2</c:v>
                </c:pt>
                <c:pt idx="37">
                  <c:v>1.2630882765448263E-2</c:v>
                </c:pt>
                <c:pt idx="38">
                  <c:v>1.2106450694880229E-2</c:v>
                </c:pt>
                <c:pt idx="39">
                  <c:v>1.1559514055140106E-2</c:v>
                </c:pt>
                <c:pt idx="40">
                  <c:v>1.0995438339968654E-2</c:v>
                </c:pt>
                <c:pt idx="41">
                  <c:v>1.0419659460074018E-2</c:v>
                </c:pt>
                <c:pt idx="42">
                  <c:v>9.8376279832747115E-3</c:v>
                </c:pt>
                <c:pt idx="43">
                  <c:v>9.2547543328554121E-3</c:v>
                </c:pt>
                <c:pt idx="44">
                  <c:v>8.6763554726936448E-3</c:v>
                </c:pt>
                <c:pt idx="45">
                  <c:v>8.1076035823945455E-3</c:v>
                </c:pt>
                <c:pt idx="46">
                  <c:v>7.5534771958236224E-3</c:v>
                </c:pt>
                <c:pt idx="47">
                  <c:v>7.0187152424411991E-3</c:v>
                </c:pt>
                <c:pt idx="48">
                  <c:v>6.5077743931389155E-3</c:v>
                </c:pt>
                <c:pt idx="49">
                  <c:v>6.0247900713083571E-3</c:v>
                </c:pt>
                <c:pt idx="50">
                  <c:v>5.5735414461087649E-3</c:v>
                </c:pt>
                <c:pt idx="51">
                  <c:v>5.1574206788372401E-3</c:v>
                </c:pt>
                <c:pt idx="52">
                  <c:v>4.7794066454468469E-3</c:v>
                </c:pt>
                <c:pt idx="53">
                  <c:v>4.4420433091191336E-3</c:v>
                </c:pt>
                <c:pt idx="54">
                  <c:v>4.1474228668941845E-3</c:v>
                </c:pt>
                <c:pt idx="55">
                  <c:v>3.8971737442070526E-3</c:v>
                </c:pt>
                <c:pt idx="56">
                  <c:v>3.6924534612805572E-3</c:v>
                </c:pt>
                <c:pt idx="57">
                  <c:v>3.5339463461742265E-3</c:v>
                </c:pt>
                <c:pt idx="58">
                  <c:v>3.421866021364029E-3</c:v>
                </c:pt>
                <c:pt idx="59">
                  <c:v>3.3559625444820121E-3</c:v>
                </c:pt>
                <c:pt idx="60">
                  <c:v>3.3355340397077898E-3</c:v>
                </c:pt>
                <c:pt idx="61">
                  <c:v>3.3594426146742891E-3</c:v>
                </c:pt>
                <c:pt idx="62">
                  <c:v>3.426134318994559E-3</c:v>
                </c:pt>
                <c:pt idx="63">
                  <c:v>3.5336628649649789E-3</c:v>
                </c:pt>
                <c:pt idx="64">
                  <c:v>3.6797167989448096E-3</c:v>
                </c:pt>
                <c:pt idx="65">
                  <c:v>3.8616497836035475E-3</c:v>
                </c:pt>
                <c:pt idx="66">
                  <c:v>4.0765136268747972E-3</c:v>
                </c:pt>
                <c:pt idx="67">
                  <c:v>4.3210936732232339E-3</c:v>
                </c:pt>
                <c:pt idx="68">
                  <c:v>4.591946156840299E-3</c:v>
                </c:pt>
                <c:pt idx="69">
                  <c:v>4.8854371047103162E-3</c:v>
                </c:pt>
                <c:pt idx="70">
                  <c:v>5.1977823701629183E-3</c:v>
                </c:pt>
                <c:pt idx="71">
                  <c:v>5.5250883745370741E-3</c:v>
                </c:pt>
                <c:pt idx="72">
                  <c:v>5.8633931358707406E-3</c:v>
                </c:pt>
                <c:pt idx="73">
                  <c:v>6.2087071690004611E-3</c:v>
                </c:pt>
                <c:pt idx="74">
                  <c:v>6.5570538509698581E-3</c:v>
                </c:pt>
                <c:pt idx="75">
                  <c:v>6.904508859029536E-3</c:v>
                </c:pt>
                <c:pt idx="76">
                  <c:v>7.2472383055532368E-3</c:v>
                </c:pt>
                <c:pt idx="77">
                  <c:v>7.5815352146535262E-3</c:v>
                </c:pt>
                <c:pt idx="78">
                  <c:v>7.9038540088824799E-3</c:v>
                </c:pt>
                <c:pt idx="79">
                  <c:v>8.21084270085113E-3</c:v>
                </c:pt>
                <c:pt idx="80">
                  <c:v>8.4993725135748526E-3</c:v>
                </c:pt>
                <c:pt idx="81">
                  <c:v>8.766564684511197E-3</c:v>
                </c:pt>
                <c:pt idx="82">
                  <c:v>9.0098142412470862E-3</c:v>
                </c:pt>
                <c:pt idx="83">
                  <c:v>9.2268105712481844E-3</c:v>
                </c:pt>
                <c:pt idx="84">
                  <c:v>9.4155546436309797E-3</c:v>
                </c:pt>
                <c:pt idx="85">
                  <c:v>9.5743727771813725E-3</c:v>
                </c:pt>
                <c:pt idx="86">
                  <c:v>9.7019268854452393E-3</c:v>
                </c:pt>
                <c:pt idx="87">
                  <c:v>9.7972211662849373E-3</c:v>
                </c:pt>
                <c:pt idx="88">
                  <c:v>9.8596052394654566E-3</c:v>
                </c:pt>
                <c:pt idx="89">
                  <c:v>9.8887737712521281E-3</c:v>
                </c:pt>
                <c:pt idx="90">
                  <c:v>9.884762659329107E-3</c:v>
                </c:pt>
                <c:pt idx="91">
                  <c:v>9.8479418842629413E-3</c:v>
                </c:pt>
                <c:pt idx="92">
                  <c:v>9.7790051649376247E-3</c:v>
                </c:pt>
                <c:pt idx="93">
                  <c:v>9.6789565845986601E-3</c:v>
                </c:pt>
                <c:pt idx="94">
                  <c:v>9.5490943811115062E-3</c:v>
                </c:pt>
                <c:pt idx="95">
                  <c:v>9.3909921195391554E-3</c:v>
                </c:pt>
                <c:pt idx="96">
                  <c:v>9.2064774869788837E-3</c:v>
                </c:pt>
                <c:pt idx="97">
                  <c:v>8.9976089686036338E-3</c:v>
                </c:pt>
                <c:pt idx="98">
                  <c:v>8.7666506798955574E-3</c:v>
                </c:pt>
                <c:pt idx="99">
                  <c:v>8.5160456430360704E-3</c:v>
                </c:pt>
                <c:pt idx="100">
                  <c:v>8.2483878052596049E-3</c:v>
                </c:pt>
                <c:pt idx="101">
                  <c:v>7.9663931036505868E-3</c:v>
                </c:pt>
                <c:pt idx="102">
                  <c:v>7.6728698843614206E-3</c:v>
                </c:pt>
                <c:pt idx="103">
                  <c:v>7.3706889845809812E-3</c:v>
                </c:pt>
                <c:pt idx="104">
                  <c:v>7.0627537828474333E-3</c:v>
                </c:pt>
                <c:pt idx="105">
                  <c:v>6.7519705175642696E-3</c:v>
                </c:pt>
                <c:pt idx="106">
                  <c:v>6.4412191649612788E-3</c:v>
                </c:pt>
                <c:pt idx="107">
                  <c:v>6.1333251563855601E-3</c:v>
                </c:pt>
                <c:pt idx="108">
                  <c:v>5.8310322008797615E-3</c:v>
                </c:pt>
                <c:pt idx="109">
                  <c:v>5.5369764626951624E-3</c:v>
                </c:pt>
                <c:pt idx="110">
                  <c:v>5.2536623249064543E-3</c:v>
                </c:pt>
                <c:pt idx="111">
                  <c:v>4.9834399498704706E-3</c:v>
                </c:pt>
                <c:pt idx="112">
                  <c:v>4.7284848251455229E-3</c:v>
                </c:pt>
                <c:pt idx="113">
                  <c:v>4.4907794599158357E-3</c:v>
                </c:pt>
                <c:pt idx="114">
                  <c:v>4.2720973722113181E-3</c:v>
                </c:pt>
                <c:pt idx="115">
                  <c:v>4.0739894815470523E-3</c:v>
                </c:pt>
                <c:pt idx="116">
                  <c:v>3.8977729953040175E-3</c:v>
                </c:pt>
                <c:pt idx="117">
                  <c:v>3.7445228505081194E-3</c:v>
                </c:pt>
                <c:pt idx="118">
                  <c:v>3.6150657459120801E-3</c:v>
                </c:pt>
                <c:pt idx="119">
                  <c:v>3.5099767727132356E-3</c:v>
                </c:pt>
                <c:pt idx="120">
                  <c:v>3.4295786261116547E-3</c:v>
                </c:pt>
                <c:pt idx="121">
                  <c:v>3.3739433544795979E-3</c:v>
                </c:pt>
                <c:pt idx="122">
                  <c:v>3.3428965784153665E-3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482C-4605-9031-330C979392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12986368"/>
        <c:axId val="1"/>
      </c:scatterChart>
      <c:valAx>
        <c:axId val="4129863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412986368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1400" b="0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Distributions!$F$768:$F$890</c:f>
              <c:numCache>
                <c:formatCode>0.00</c:formatCode>
                <c:ptCount val="123"/>
                <c:pt idx="0">
                  <c:v>-3</c:v>
                </c:pt>
                <c:pt idx="1">
                  <c:v>-2.95</c:v>
                </c:pt>
                <c:pt idx="2">
                  <c:v>-2.9000000000000004</c:v>
                </c:pt>
                <c:pt idx="3">
                  <c:v>-2.8500000000000005</c:v>
                </c:pt>
                <c:pt idx="4">
                  <c:v>-2.8000000000000007</c:v>
                </c:pt>
                <c:pt idx="5">
                  <c:v>-2.7500000000000009</c:v>
                </c:pt>
                <c:pt idx="6">
                  <c:v>-2.7000000000000011</c:v>
                </c:pt>
                <c:pt idx="7">
                  <c:v>-2.6500000000000012</c:v>
                </c:pt>
                <c:pt idx="8">
                  <c:v>-2.6000000000000014</c:v>
                </c:pt>
                <c:pt idx="9">
                  <c:v>-2.5500000000000016</c:v>
                </c:pt>
                <c:pt idx="10">
                  <c:v>-2.5000000000000018</c:v>
                </c:pt>
                <c:pt idx="11">
                  <c:v>-2.450000000000002</c:v>
                </c:pt>
                <c:pt idx="12">
                  <c:v>-2.4000000000000021</c:v>
                </c:pt>
                <c:pt idx="13">
                  <c:v>-2.3500000000000023</c:v>
                </c:pt>
                <c:pt idx="14">
                  <c:v>-2.3000000000000025</c:v>
                </c:pt>
                <c:pt idx="15">
                  <c:v>-2.2500000000000027</c:v>
                </c:pt>
                <c:pt idx="16">
                  <c:v>-2.2000000000000028</c:v>
                </c:pt>
                <c:pt idx="17">
                  <c:v>-2.150000000000003</c:v>
                </c:pt>
                <c:pt idx="18">
                  <c:v>-2.1000000000000032</c:v>
                </c:pt>
                <c:pt idx="19">
                  <c:v>-2.0500000000000034</c:v>
                </c:pt>
                <c:pt idx="20">
                  <c:v>-2.0000000000000036</c:v>
                </c:pt>
                <c:pt idx="21">
                  <c:v>-1.9500000000000035</c:v>
                </c:pt>
                <c:pt idx="22">
                  <c:v>-1.9000000000000035</c:v>
                </c:pt>
                <c:pt idx="23">
                  <c:v>-1.8500000000000034</c:v>
                </c:pt>
                <c:pt idx="24">
                  <c:v>-1.8000000000000034</c:v>
                </c:pt>
                <c:pt idx="25">
                  <c:v>-1.7500000000000033</c:v>
                </c:pt>
                <c:pt idx="26">
                  <c:v>-1.7000000000000033</c:v>
                </c:pt>
                <c:pt idx="27">
                  <c:v>-1.6500000000000032</c:v>
                </c:pt>
                <c:pt idx="28">
                  <c:v>-1.6000000000000032</c:v>
                </c:pt>
                <c:pt idx="29">
                  <c:v>-1.5500000000000032</c:v>
                </c:pt>
                <c:pt idx="30">
                  <c:v>-1.5000000000000031</c:v>
                </c:pt>
                <c:pt idx="31">
                  <c:v>-1.4500000000000031</c:v>
                </c:pt>
                <c:pt idx="32">
                  <c:v>-1.400000000000003</c:v>
                </c:pt>
                <c:pt idx="33">
                  <c:v>-1.350000000000003</c:v>
                </c:pt>
                <c:pt idx="34">
                  <c:v>-1.3000000000000029</c:v>
                </c:pt>
                <c:pt idx="35">
                  <c:v>-1.2500000000000029</c:v>
                </c:pt>
                <c:pt idx="36">
                  <c:v>-1.2000000000000028</c:v>
                </c:pt>
                <c:pt idx="37">
                  <c:v>-1.1500000000000028</c:v>
                </c:pt>
                <c:pt idx="38">
                  <c:v>-1.1000000000000028</c:v>
                </c:pt>
                <c:pt idx="39">
                  <c:v>-1.0500000000000027</c:v>
                </c:pt>
                <c:pt idx="40">
                  <c:v>-1.0000000000000027</c:v>
                </c:pt>
                <c:pt idx="41">
                  <c:v>-0.95000000000000262</c:v>
                </c:pt>
                <c:pt idx="42">
                  <c:v>-0.90000000000000258</c:v>
                </c:pt>
                <c:pt idx="43">
                  <c:v>-0.85000000000000253</c:v>
                </c:pt>
                <c:pt idx="44">
                  <c:v>-0.80000000000000249</c:v>
                </c:pt>
                <c:pt idx="45">
                  <c:v>-0.75000000000000244</c:v>
                </c:pt>
                <c:pt idx="46">
                  <c:v>-0.7000000000000024</c:v>
                </c:pt>
                <c:pt idx="47">
                  <c:v>-0.65000000000000235</c:v>
                </c:pt>
                <c:pt idx="48">
                  <c:v>-0.60000000000000231</c:v>
                </c:pt>
                <c:pt idx="49">
                  <c:v>-0.55000000000000226</c:v>
                </c:pt>
                <c:pt idx="50">
                  <c:v>-0.50000000000000222</c:v>
                </c:pt>
                <c:pt idx="51">
                  <c:v>-0.45000000000000223</c:v>
                </c:pt>
                <c:pt idx="52">
                  <c:v>-0.40000000000000224</c:v>
                </c:pt>
                <c:pt idx="53">
                  <c:v>-0.35000000000000225</c:v>
                </c:pt>
                <c:pt idx="54">
                  <c:v>-0.30000000000000226</c:v>
                </c:pt>
                <c:pt idx="55">
                  <c:v>-0.25000000000000228</c:v>
                </c:pt>
                <c:pt idx="56">
                  <c:v>-0.20000000000000229</c:v>
                </c:pt>
                <c:pt idx="57">
                  <c:v>-0.1500000000000023</c:v>
                </c:pt>
                <c:pt idx="58">
                  <c:v>-0.1000000000000023</c:v>
                </c:pt>
                <c:pt idx="59">
                  <c:v>-5.0000000000002293E-2</c:v>
                </c:pt>
                <c:pt idx="60">
                  <c:v>-2.2898349882893854E-15</c:v>
                </c:pt>
                <c:pt idx="61">
                  <c:v>4.9999999999997713E-2</c:v>
                </c:pt>
                <c:pt idx="62">
                  <c:v>9.9999999999997716E-2</c:v>
                </c:pt>
                <c:pt idx="63">
                  <c:v>0.14999999999999772</c:v>
                </c:pt>
                <c:pt idx="64">
                  <c:v>0.19999999999999774</c:v>
                </c:pt>
                <c:pt idx="65">
                  <c:v>0.24999999999999772</c:v>
                </c:pt>
                <c:pt idx="66">
                  <c:v>0.29999999999999771</c:v>
                </c:pt>
                <c:pt idx="67">
                  <c:v>0.3499999999999977</c:v>
                </c:pt>
                <c:pt idx="68">
                  <c:v>0.39999999999999769</c:v>
                </c:pt>
                <c:pt idx="69">
                  <c:v>0.44999999999999768</c:v>
                </c:pt>
                <c:pt idx="70">
                  <c:v>0.49999999999999767</c:v>
                </c:pt>
                <c:pt idx="71">
                  <c:v>0.54999999999999771</c:v>
                </c:pt>
                <c:pt idx="72">
                  <c:v>0.59999999999999776</c:v>
                </c:pt>
                <c:pt idx="73">
                  <c:v>0.6499999999999978</c:v>
                </c:pt>
                <c:pt idx="74">
                  <c:v>0.69999999999999785</c:v>
                </c:pt>
                <c:pt idx="75">
                  <c:v>0.74999999999999789</c:v>
                </c:pt>
                <c:pt idx="76">
                  <c:v>0.79999999999999793</c:v>
                </c:pt>
                <c:pt idx="77">
                  <c:v>0.84999999999999798</c:v>
                </c:pt>
                <c:pt idx="78">
                  <c:v>0.89999999999999802</c:v>
                </c:pt>
                <c:pt idx="79">
                  <c:v>0.94999999999999807</c:v>
                </c:pt>
                <c:pt idx="80">
                  <c:v>0.99999999999999811</c:v>
                </c:pt>
                <c:pt idx="81">
                  <c:v>1.049999999999998</c:v>
                </c:pt>
                <c:pt idx="82">
                  <c:v>1.0999999999999981</c:v>
                </c:pt>
                <c:pt idx="83">
                  <c:v>1.1499999999999981</c:v>
                </c:pt>
                <c:pt idx="84">
                  <c:v>1.1999999999999982</c:v>
                </c:pt>
                <c:pt idx="85">
                  <c:v>1.2499999999999982</c:v>
                </c:pt>
                <c:pt idx="86">
                  <c:v>1.2999999999999983</c:v>
                </c:pt>
                <c:pt idx="87">
                  <c:v>1.3499999999999983</c:v>
                </c:pt>
                <c:pt idx="88">
                  <c:v>1.3999999999999984</c:v>
                </c:pt>
                <c:pt idx="89">
                  <c:v>1.4499999999999984</c:v>
                </c:pt>
                <c:pt idx="90">
                  <c:v>1.4999999999999984</c:v>
                </c:pt>
                <c:pt idx="91">
                  <c:v>1.5499999999999985</c:v>
                </c:pt>
                <c:pt idx="92">
                  <c:v>1.5999999999999985</c:v>
                </c:pt>
                <c:pt idx="93">
                  <c:v>1.6499999999999986</c:v>
                </c:pt>
                <c:pt idx="94">
                  <c:v>1.6999999999999986</c:v>
                </c:pt>
                <c:pt idx="95">
                  <c:v>1.7499999999999987</c:v>
                </c:pt>
                <c:pt idx="96">
                  <c:v>1.7999999999999987</c:v>
                </c:pt>
                <c:pt idx="97">
                  <c:v>1.8499999999999988</c:v>
                </c:pt>
                <c:pt idx="98">
                  <c:v>1.8999999999999988</c:v>
                </c:pt>
                <c:pt idx="99">
                  <c:v>1.9499999999999988</c:v>
                </c:pt>
                <c:pt idx="100">
                  <c:v>1.9999999999999989</c:v>
                </c:pt>
                <c:pt idx="101">
                  <c:v>2.0499999999999989</c:v>
                </c:pt>
                <c:pt idx="102">
                  <c:v>2.0999999999999988</c:v>
                </c:pt>
                <c:pt idx="103">
                  <c:v>2.1499999999999986</c:v>
                </c:pt>
                <c:pt idx="104">
                  <c:v>2.1999999999999984</c:v>
                </c:pt>
                <c:pt idx="105">
                  <c:v>2.2499999999999982</c:v>
                </c:pt>
                <c:pt idx="106">
                  <c:v>2.299999999999998</c:v>
                </c:pt>
                <c:pt idx="107">
                  <c:v>2.3499999999999979</c:v>
                </c:pt>
                <c:pt idx="108">
                  <c:v>2.3999999999999977</c:v>
                </c:pt>
                <c:pt idx="109">
                  <c:v>2.4499999999999975</c:v>
                </c:pt>
                <c:pt idx="110">
                  <c:v>2.4999999999999973</c:v>
                </c:pt>
                <c:pt idx="111">
                  <c:v>2.5499999999999972</c:v>
                </c:pt>
                <c:pt idx="112">
                  <c:v>2.599999999999997</c:v>
                </c:pt>
                <c:pt idx="113">
                  <c:v>2.6499999999999968</c:v>
                </c:pt>
                <c:pt idx="114">
                  <c:v>2.6999999999999966</c:v>
                </c:pt>
                <c:pt idx="115">
                  <c:v>2.7499999999999964</c:v>
                </c:pt>
                <c:pt idx="116">
                  <c:v>2.7999999999999963</c:v>
                </c:pt>
                <c:pt idx="117">
                  <c:v>2.8499999999999961</c:v>
                </c:pt>
                <c:pt idx="118">
                  <c:v>2.8999999999999959</c:v>
                </c:pt>
                <c:pt idx="119">
                  <c:v>2.9499999999999957</c:v>
                </c:pt>
                <c:pt idx="120">
                  <c:v>2.9999999999999956</c:v>
                </c:pt>
                <c:pt idx="121">
                  <c:v>3.0499999999999954</c:v>
                </c:pt>
                <c:pt idx="122">
                  <c:v>3.0999999999999952</c:v>
                </c:pt>
              </c:numCache>
            </c:numRef>
          </c:xVal>
          <c:yVal>
            <c:numRef>
              <c:f>Distributions!$G$768:$G$890</c:f>
              <c:numCache>
                <c:formatCode>0.00</c:formatCode>
                <c:ptCount val="123"/>
                <c:pt idx="0">
                  <c:v>-2.996556756719051</c:v>
                </c:pt>
                <c:pt idx="1">
                  <c:v>-2.9474328754613612</c:v>
                </c:pt>
                <c:pt idx="2">
                  <c:v>-2.8983089942036719</c:v>
                </c:pt>
                <c:pt idx="3">
                  <c:v>-2.8491851129459826</c:v>
                </c:pt>
                <c:pt idx="4">
                  <c:v>-2.8000612316882934</c:v>
                </c:pt>
                <c:pt idx="5">
                  <c:v>-2.7509373504306041</c:v>
                </c:pt>
                <c:pt idx="6">
                  <c:v>-2.7018134691729148</c:v>
                </c:pt>
                <c:pt idx="7">
                  <c:v>-2.6526895879152255</c:v>
                </c:pt>
                <c:pt idx="8">
                  <c:v>-2.6035657066575357</c:v>
                </c:pt>
                <c:pt idx="9">
                  <c:v>-2.5544418253998469</c:v>
                </c:pt>
                <c:pt idx="10">
                  <c:v>-2.5053179441421576</c:v>
                </c:pt>
                <c:pt idx="11">
                  <c:v>-2.4561940628844678</c:v>
                </c:pt>
                <c:pt idx="12">
                  <c:v>-2.4070701816267785</c:v>
                </c:pt>
                <c:pt idx="13">
                  <c:v>-2.3579463003690893</c:v>
                </c:pt>
                <c:pt idx="14">
                  <c:v>-2.3088224191114</c:v>
                </c:pt>
                <c:pt idx="15">
                  <c:v>-2.2596985378537107</c:v>
                </c:pt>
                <c:pt idx="16">
                  <c:v>-2.2105746565960214</c:v>
                </c:pt>
                <c:pt idx="17">
                  <c:v>-2.1614507753383321</c:v>
                </c:pt>
                <c:pt idx="18">
                  <c:v>-2.1123268940806423</c:v>
                </c:pt>
                <c:pt idx="19">
                  <c:v>-2.063203012822953</c:v>
                </c:pt>
                <c:pt idx="20">
                  <c:v>-2.0140791315652642</c:v>
                </c:pt>
                <c:pt idx="21">
                  <c:v>-1.9649552503075745</c:v>
                </c:pt>
                <c:pt idx="22">
                  <c:v>-1.9158313690498852</c:v>
                </c:pt>
                <c:pt idx="23">
                  <c:v>-1.8667074877921956</c:v>
                </c:pt>
                <c:pt idx="24">
                  <c:v>-1.8175836065345063</c:v>
                </c:pt>
                <c:pt idx="25">
                  <c:v>-1.7684597252768173</c:v>
                </c:pt>
                <c:pt idx="26">
                  <c:v>-1.719335844019128</c:v>
                </c:pt>
                <c:pt idx="27">
                  <c:v>-1.6702119627614387</c:v>
                </c:pt>
                <c:pt idx="28">
                  <c:v>-1.6210880815037492</c:v>
                </c:pt>
                <c:pt idx="29">
                  <c:v>-1.5719642002460599</c:v>
                </c:pt>
                <c:pt idx="30">
                  <c:v>-1.5228403189883706</c:v>
                </c:pt>
                <c:pt idx="31">
                  <c:v>-1.4737164377306811</c:v>
                </c:pt>
                <c:pt idx="32">
                  <c:v>-1.4245925564729918</c:v>
                </c:pt>
                <c:pt idx="33">
                  <c:v>-1.3754686752153025</c:v>
                </c:pt>
                <c:pt idx="34">
                  <c:v>-1.3263447939576132</c:v>
                </c:pt>
                <c:pt idx="35">
                  <c:v>-1.2772209126999237</c:v>
                </c:pt>
                <c:pt idx="36">
                  <c:v>-1.2280970314422344</c:v>
                </c:pt>
                <c:pt idx="37">
                  <c:v>-1.1789731501845451</c:v>
                </c:pt>
                <c:pt idx="38">
                  <c:v>-1.129849268926856</c:v>
                </c:pt>
                <c:pt idx="39">
                  <c:v>-1.0807253876691665</c:v>
                </c:pt>
                <c:pt idx="40">
                  <c:v>-1.0316015064114767</c:v>
                </c:pt>
                <c:pt idx="41">
                  <c:v>-0.98247762515378811</c:v>
                </c:pt>
                <c:pt idx="42">
                  <c:v>-0.93335374389609838</c:v>
                </c:pt>
                <c:pt idx="43">
                  <c:v>-0.88422986263840864</c:v>
                </c:pt>
                <c:pt idx="44">
                  <c:v>-0.83510598138071934</c:v>
                </c:pt>
                <c:pt idx="45">
                  <c:v>-0.78598210012303049</c:v>
                </c:pt>
                <c:pt idx="46">
                  <c:v>-0.73685821886534075</c:v>
                </c:pt>
                <c:pt idx="47">
                  <c:v>-0.6877343376076519</c:v>
                </c:pt>
                <c:pt idx="48">
                  <c:v>-0.63861045634996261</c:v>
                </c:pt>
                <c:pt idx="49">
                  <c:v>-0.58948657509227287</c:v>
                </c:pt>
                <c:pt idx="50">
                  <c:v>-0.54036269383458357</c:v>
                </c:pt>
                <c:pt idx="51">
                  <c:v>-0.49123881257689428</c:v>
                </c:pt>
                <c:pt idx="52">
                  <c:v>-0.44211493131920498</c:v>
                </c:pt>
                <c:pt idx="53">
                  <c:v>-0.39299105006151525</c:v>
                </c:pt>
                <c:pt idx="54">
                  <c:v>-0.3438671688038264</c:v>
                </c:pt>
                <c:pt idx="55">
                  <c:v>-0.2947432875461371</c:v>
                </c:pt>
                <c:pt idx="56">
                  <c:v>-0.24561940628844736</c:v>
                </c:pt>
                <c:pt idx="57">
                  <c:v>-0.19649552503075807</c:v>
                </c:pt>
                <c:pt idx="58">
                  <c:v>-0.14737164377306877</c:v>
                </c:pt>
                <c:pt idx="59">
                  <c:v>-9.8247762515379478E-2</c:v>
                </c:pt>
                <c:pt idx="60">
                  <c:v>-4.9123881257690627E-2</c:v>
                </c:pt>
                <c:pt idx="61">
                  <c:v>0</c:v>
                </c:pt>
                <c:pt idx="62">
                  <c:v>4.9123881257687962E-2</c:v>
                </c:pt>
                <c:pt idx="63">
                  <c:v>9.8247762515378145E-2</c:v>
                </c:pt>
                <c:pt idx="64">
                  <c:v>0.14737164377306744</c:v>
                </c:pt>
                <c:pt idx="65">
                  <c:v>0.19649552503075629</c:v>
                </c:pt>
                <c:pt idx="66">
                  <c:v>0.24561940628844603</c:v>
                </c:pt>
                <c:pt idx="67">
                  <c:v>0.29474328754613488</c:v>
                </c:pt>
                <c:pt idx="68">
                  <c:v>0.34386716880382462</c:v>
                </c:pt>
                <c:pt idx="69">
                  <c:v>0.39299105006151347</c:v>
                </c:pt>
                <c:pt idx="70">
                  <c:v>0.44211493131920321</c:v>
                </c:pt>
                <c:pt idx="71">
                  <c:v>0.49123881257689206</c:v>
                </c:pt>
                <c:pt idx="72">
                  <c:v>0.5403626938345818</c:v>
                </c:pt>
                <c:pt idx="73">
                  <c:v>0.58948657509227154</c:v>
                </c:pt>
                <c:pt idx="74">
                  <c:v>0.63861045634996083</c:v>
                </c:pt>
                <c:pt idx="75">
                  <c:v>0.68773433760765013</c:v>
                </c:pt>
                <c:pt idx="76">
                  <c:v>0.73685821886533898</c:v>
                </c:pt>
                <c:pt idx="77">
                  <c:v>0.78598210012302916</c:v>
                </c:pt>
                <c:pt idx="78">
                  <c:v>0.83510598138071757</c:v>
                </c:pt>
                <c:pt idx="79">
                  <c:v>0.8842298626384073</c:v>
                </c:pt>
                <c:pt idx="80">
                  <c:v>0.93335374389609704</c:v>
                </c:pt>
                <c:pt idx="81">
                  <c:v>0.98247762515378545</c:v>
                </c:pt>
                <c:pt idx="82">
                  <c:v>1.0316015064114756</c:v>
                </c:pt>
                <c:pt idx="83">
                  <c:v>1.0807253876691645</c:v>
                </c:pt>
                <c:pt idx="84">
                  <c:v>1.1298492689268533</c:v>
                </c:pt>
                <c:pt idx="85">
                  <c:v>1.1789731501845431</c:v>
                </c:pt>
                <c:pt idx="86">
                  <c:v>1.2280970314422328</c:v>
                </c:pt>
                <c:pt idx="87">
                  <c:v>1.2772209126999226</c:v>
                </c:pt>
                <c:pt idx="88">
                  <c:v>1.3263447939576105</c:v>
                </c:pt>
                <c:pt idx="89">
                  <c:v>1.3754686752153011</c:v>
                </c:pt>
                <c:pt idx="90">
                  <c:v>1.42459255647299</c:v>
                </c:pt>
                <c:pt idx="91">
                  <c:v>1.4737164377306788</c:v>
                </c:pt>
                <c:pt idx="92">
                  <c:v>1.5228403189883686</c:v>
                </c:pt>
                <c:pt idx="93">
                  <c:v>1.5719642002460583</c:v>
                </c:pt>
                <c:pt idx="94">
                  <c:v>1.6210880815037481</c:v>
                </c:pt>
                <c:pt idx="95">
                  <c:v>1.670211962761436</c:v>
                </c:pt>
                <c:pt idx="96">
                  <c:v>1.7193358440191266</c:v>
                </c:pt>
                <c:pt idx="97">
                  <c:v>1.7684597252768146</c:v>
                </c:pt>
                <c:pt idx="98">
                  <c:v>1.8175836065345043</c:v>
                </c:pt>
                <c:pt idx="99">
                  <c:v>1.866707487792195</c:v>
                </c:pt>
                <c:pt idx="100">
                  <c:v>1.9158313690498838</c:v>
                </c:pt>
                <c:pt idx="101">
                  <c:v>1.9649552503075727</c:v>
                </c:pt>
                <c:pt idx="102">
                  <c:v>2.0140791315652615</c:v>
                </c:pt>
                <c:pt idx="103">
                  <c:v>2.0632030128229522</c:v>
                </c:pt>
                <c:pt idx="104">
                  <c:v>2.112326894080641</c:v>
                </c:pt>
                <c:pt idx="105">
                  <c:v>2.1614507753383299</c:v>
                </c:pt>
                <c:pt idx="106">
                  <c:v>2.2105746565960187</c:v>
                </c:pt>
                <c:pt idx="107">
                  <c:v>2.2596985378537093</c:v>
                </c:pt>
                <c:pt idx="108">
                  <c:v>2.3088224191113991</c:v>
                </c:pt>
                <c:pt idx="109">
                  <c:v>2.357946300369087</c:v>
                </c:pt>
                <c:pt idx="110">
                  <c:v>2.4070701816267768</c:v>
                </c:pt>
                <c:pt idx="111">
                  <c:v>2.4561940628844674</c:v>
                </c:pt>
                <c:pt idx="112">
                  <c:v>2.5053179441421571</c:v>
                </c:pt>
                <c:pt idx="113">
                  <c:v>2.5544418253998478</c:v>
                </c:pt>
                <c:pt idx="114">
                  <c:v>2.6035657066575375</c:v>
                </c:pt>
                <c:pt idx="115">
                  <c:v>2.6526895879152281</c:v>
                </c:pt>
                <c:pt idx="116">
                  <c:v>2.7018134691729179</c:v>
                </c:pt>
                <c:pt idx="117">
                  <c:v>2.7509373504306076</c:v>
                </c:pt>
                <c:pt idx="118">
                  <c:v>2.8000612316882991</c:v>
                </c:pt>
                <c:pt idx="119">
                  <c:v>2.849185112945988</c:v>
                </c:pt>
                <c:pt idx="120">
                  <c:v>2.8983089942036795</c:v>
                </c:pt>
                <c:pt idx="121">
                  <c:v>2.9474328754613692</c:v>
                </c:pt>
                <c:pt idx="122">
                  <c:v>2.9965567567190581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8274-48D2-9DFA-04CF4B9E5A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13970040"/>
        <c:axId val="1"/>
      </c:scatterChart>
      <c:valAx>
        <c:axId val="4139700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413970040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1400" b="0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Storks!$E$3</c:f>
              <c:strCache>
                <c:ptCount val="1"/>
                <c:pt idx="0">
                  <c:v>Humans (millions)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Storks!$D$4:$D$17</c:f>
              <c:numCache>
                <c:formatCode>0</c:formatCode>
                <c:ptCount val="14"/>
                <c:pt idx="0">
                  <c:v>1</c:v>
                </c:pt>
                <c:pt idx="1">
                  <c:v>4</c:v>
                </c:pt>
                <c:pt idx="2">
                  <c:v>9</c:v>
                </c:pt>
                <c:pt idx="3">
                  <c:v>100</c:v>
                </c:pt>
                <c:pt idx="4">
                  <c:v>150</c:v>
                </c:pt>
                <c:pt idx="5">
                  <c:v>300</c:v>
                </c:pt>
                <c:pt idx="6">
                  <c:v>1500</c:v>
                </c:pt>
                <c:pt idx="7">
                  <c:v>2500</c:v>
                </c:pt>
                <c:pt idx="8">
                  <c:v>5000</c:v>
                </c:pt>
                <c:pt idx="9">
                  <c:v>5000</c:v>
                </c:pt>
                <c:pt idx="10">
                  <c:v>5000</c:v>
                </c:pt>
                <c:pt idx="11">
                  <c:v>8000</c:v>
                </c:pt>
                <c:pt idx="12">
                  <c:v>25000</c:v>
                </c:pt>
                <c:pt idx="13">
                  <c:v>30000</c:v>
                </c:pt>
              </c:numCache>
            </c:numRef>
          </c:xVal>
          <c:yVal>
            <c:numRef>
              <c:f>Storks!$E$4:$E$17</c:f>
              <c:numCache>
                <c:formatCode>0</c:formatCode>
                <c:ptCount val="14"/>
                <c:pt idx="0">
                  <c:v>9.9</c:v>
                </c:pt>
                <c:pt idx="1">
                  <c:v>15</c:v>
                </c:pt>
                <c:pt idx="2">
                  <c:v>5.0999999999999996</c:v>
                </c:pt>
                <c:pt idx="3">
                  <c:v>3.2</c:v>
                </c:pt>
                <c:pt idx="4">
                  <c:v>6.7</c:v>
                </c:pt>
                <c:pt idx="5">
                  <c:v>7.6</c:v>
                </c:pt>
                <c:pt idx="6">
                  <c:v>10</c:v>
                </c:pt>
                <c:pt idx="7">
                  <c:v>10</c:v>
                </c:pt>
                <c:pt idx="8">
                  <c:v>9</c:v>
                </c:pt>
                <c:pt idx="9">
                  <c:v>11</c:v>
                </c:pt>
                <c:pt idx="10">
                  <c:v>23</c:v>
                </c:pt>
                <c:pt idx="11">
                  <c:v>39</c:v>
                </c:pt>
                <c:pt idx="12">
                  <c:v>56</c:v>
                </c:pt>
                <c:pt idx="13">
                  <c:v>38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AA9-47FB-A1BC-5181EBB732FC}"/>
            </c:ext>
          </c:extLst>
        </c:ser>
        <c:ser>
          <c:idx val="1"/>
          <c:order val="1"/>
          <c:tx>
            <c:strRef>
              <c:f>Storks!$F$3</c:f>
              <c:strCache>
                <c:ptCount val="1"/>
                <c:pt idx="0">
                  <c:v>Birth rate (103/yr)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Storks!$D$4:$D$17</c:f>
              <c:numCache>
                <c:formatCode>0</c:formatCode>
                <c:ptCount val="14"/>
                <c:pt idx="0">
                  <c:v>1</c:v>
                </c:pt>
                <c:pt idx="1">
                  <c:v>4</c:v>
                </c:pt>
                <c:pt idx="2">
                  <c:v>9</c:v>
                </c:pt>
                <c:pt idx="3">
                  <c:v>100</c:v>
                </c:pt>
                <c:pt idx="4">
                  <c:v>150</c:v>
                </c:pt>
                <c:pt idx="5">
                  <c:v>300</c:v>
                </c:pt>
                <c:pt idx="6">
                  <c:v>1500</c:v>
                </c:pt>
                <c:pt idx="7">
                  <c:v>2500</c:v>
                </c:pt>
                <c:pt idx="8">
                  <c:v>5000</c:v>
                </c:pt>
                <c:pt idx="9">
                  <c:v>5000</c:v>
                </c:pt>
                <c:pt idx="10">
                  <c:v>5000</c:v>
                </c:pt>
                <c:pt idx="11">
                  <c:v>8000</c:v>
                </c:pt>
                <c:pt idx="12">
                  <c:v>25000</c:v>
                </c:pt>
                <c:pt idx="13">
                  <c:v>30000</c:v>
                </c:pt>
              </c:numCache>
            </c:numRef>
          </c:xVal>
          <c:yVal>
            <c:numRef>
              <c:f>Storks!$F$4:$F$17</c:f>
              <c:numCache>
                <c:formatCode>0</c:formatCode>
                <c:ptCount val="14"/>
                <c:pt idx="0">
                  <c:v>118</c:v>
                </c:pt>
                <c:pt idx="1">
                  <c:v>188</c:v>
                </c:pt>
                <c:pt idx="2">
                  <c:v>59</c:v>
                </c:pt>
                <c:pt idx="3">
                  <c:v>83</c:v>
                </c:pt>
                <c:pt idx="4">
                  <c:v>82</c:v>
                </c:pt>
                <c:pt idx="5">
                  <c:v>87</c:v>
                </c:pt>
                <c:pt idx="6">
                  <c:v>120</c:v>
                </c:pt>
                <c:pt idx="7">
                  <c:v>106</c:v>
                </c:pt>
                <c:pt idx="8">
                  <c:v>117</c:v>
                </c:pt>
                <c:pt idx="9">
                  <c:v>124</c:v>
                </c:pt>
                <c:pt idx="10">
                  <c:v>367</c:v>
                </c:pt>
                <c:pt idx="11">
                  <c:v>439</c:v>
                </c:pt>
                <c:pt idx="12">
                  <c:v>1576</c:v>
                </c:pt>
                <c:pt idx="13">
                  <c:v>610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AA9-47FB-A1BC-5181EBB732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11400608"/>
        <c:axId val="1"/>
      </c:scatterChart>
      <c:valAx>
        <c:axId val="4114006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411400608"/>
        <c:crosses val="autoZero"/>
        <c:crossBetween val="midCat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/>
        <a:lstStyle/>
        <a:p>
          <a:pPr>
            <a:defRPr sz="690" b="0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Distributions!$C$5:$C$18</c:f>
              <c:numCache>
                <c:formatCode>0</c:formatCode>
                <c:ptCount val="14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</c:numCache>
            </c:numRef>
          </c:xVal>
          <c:yVal>
            <c:numRef>
              <c:f>Distributions!$F$5:$F$18</c:f>
              <c:numCache>
                <c:formatCode>0.000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2.7777777777777776E-2</c:v>
                </c:pt>
                <c:pt idx="3">
                  <c:v>5.5555555555555552E-2</c:v>
                </c:pt>
                <c:pt idx="4">
                  <c:v>8.3333333333333329E-2</c:v>
                </c:pt>
                <c:pt idx="5">
                  <c:v>0.1111111111111111</c:v>
                </c:pt>
                <c:pt idx="6">
                  <c:v>0.1388888888888889</c:v>
                </c:pt>
                <c:pt idx="7">
                  <c:v>0.16666666666666666</c:v>
                </c:pt>
                <c:pt idx="8">
                  <c:v>0.1388888888888889</c:v>
                </c:pt>
                <c:pt idx="9">
                  <c:v>0.1111111111111111</c:v>
                </c:pt>
                <c:pt idx="10">
                  <c:v>8.3333333333333329E-2</c:v>
                </c:pt>
                <c:pt idx="11">
                  <c:v>5.5555555555555552E-2</c:v>
                </c:pt>
                <c:pt idx="12">
                  <c:v>2.7777777777777776E-2</c:v>
                </c:pt>
                <c:pt idx="1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9F6-4A9C-BD15-1B65D79B1A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12021448"/>
        <c:axId val="1"/>
      </c:scatterChart>
      <c:valAx>
        <c:axId val="412021448"/>
        <c:scaling>
          <c:orientation val="minMax"/>
          <c:max val="13"/>
          <c:min val="0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crossBetween val="midCat"/>
        <c:majorUnit val="1"/>
      </c:valAx>
      <c:valAx>
        <c:axId val="1"/>
        <c:scaling>
          <c:orientation val="minMax"/>
        </c:scaling>
        <c:delete val="0"/>
        <c:axPos val="l"/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412021448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Storks!$I$3</c:f>
              <c:strCache>
                <c:ptCount val="1"/>
                <c:pt idx="0">
                  <c:v>Humans (millions)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Storks!$H$4:$H$17</c:f>
              <c:numCache>
                <c:formatCode>0</c:formatCode>
                <c:ptCount val="14"/>
                <c:pt idx="0">
                  <c:v>1</c:v>
                </c:pt>
                <c:pt idx="1">
                  <c:v>4</c:v>
                </c:pt>
                <c:pt idx="2">
                  <c:v>9</c:v>
                </c:pt>
                <c:pt idx="3">
                  <c:v>100</c:v>
                </c:pt>
                <c:pt idx="4">
                  <c:v>150</c:v>
                </c:pt>
                <c:pt idx="5">
                  <c:v>300</c:v>
                </c:pt>
                <c:pt idx="6">
                  <c:v>1500</c:v>
                </c:pt>
                <c:pt idx="7">
                  <c:v>2500</c:v>
                </c:pt>
                <c:pt idx="8">
                  <c:v>5000</c:v>
                </c:pt>
                <c:pt idx="9">
                  <c:v>5000</c:v>
                </c:pt>
                <c:pt idx="10">
                  <c:v>5000</c:v>
                </c:pt>
                <c:pt idx="11">
                  <c:v>8000</c:v>
                </c:pt>
                <c:pt idx="12">
                  <c:v>25000</c:v>
                </c:pt>
                <c:pt idx="13">
                  <c:v>30000</c:v>
                </c:pt>
              </c:numCache>
            </c:numRef>
          </c:xVal>
          <c:yVal>
            <c:numRef>
              <c:f>Storks!$I$4:$I$17</c:f>
              <c:numCache>
                <c:formatCode>#,##0</c:formatCode>
                <c:ptCount val="14"/>
                <c:pt idx="0">
                  <c:v>9900000</c:v>
                </c:pt>
                <c:pt idx="1">
                  <c:v>15000000</c:v>
                </c:pt>
                <c:pt idx="2">
                  <c:v>5100000</c:v>
                </c:pt>
                <c:pt idx="3">
                  <c:v>3200000</c:v>
                </c:pt>
                <c:pt idx="4">
                  <c:v>6700000</c:v>
                </c:pt>
                <c:pt idx="5">
                  <c:v>7600000</c:v>
                </c:pt>
                <c:pt idx="6">
                  <c:v>10000000</c:v>
                </c:pt>
                <c:pt idx="7">
                  <c:v>10000000</c:v>
                </c:pt>
                <c:pt idx="8">
                  <c:v>9000000</c:v>
                </c:pt>
                <c:pt idx="9">
                  <c:v>11000000</c:v>
                </c:pt>
                <c:pt idx="10">
                  <c:v>23000000</c:v>
                </c:pt>
                <c:pt idx="11">
                  <c:v>39000000</c:v>
                </c:pt>
                <c:pt idx="12">
                  <c:v>56000000</c:v>
                </c:pt>
                <c:pt idx="13">
                  <c:v>38000000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0BB-4D24-912C-A80DD5C868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11395032"/>
        <c:axId val="1"/>
      </c:scatterChart>
      <c:valAx>
        <c:axId val="4113950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411395032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>
              <a:noFill/>
            </a:ln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Storks!$H$4:$H$17</c:f>
              <c:numCache>
                <c:formatCode>0</c:formatCode>
                <c:ptCount val="14"/>
                <c:pt idx="0">
                  <c:v>1</c:v>
                </c:pt>
                <c:pt idx="1">
                  <c:v>4</c:v>
                </c:pt>
                <c:pt idx="2">
                  <c:v>9</c:v>
                </c:pt>
                <c:pt idx="3">
                  <c:v>100</c:v>
                </c:pt>
                <c:pt idx="4">
                  <c:v>150</c:v>
                </c:pt>
                <c:pt idx="5">
                  <c:v>300</c:v>
                </c:pt>
                <c:pt idx="6">
                  <c:v>1500</c:v>
                </c:pt>
                <c:pt idx="7">
                  <c:v>2500</c:v>
                </c:pt>
                <c:pt idx="8">
                  <c:v>5000</c:v>
                </c:pt>
                <c:pt idx="9">
                  <c:v>5000</c:v>
                </c:pt>
                <c:pt idx="10">
                  <c:v>5000</c:v>
                </c:pt>
                <c:pt idx="11">
                  <c:v>8000</c:v>
                </c:pt>
                <c:pt idx="12">
                  <c:v>25000</c:v>
                </c:pt>
                <c:pt idx="13">
                  <c:v>30000</c:v>
                </c:pt>
              </c:numCache>
            </c:numRef>
          </c:xVal>
          <c:yVal>
            <c:numRef>
              <c:f>Storks!$K$4:$K$17</c:f>
              <c:numCache>
                <c:formatCode>0</c:formatCode>
                <c:ptCount val="14"/>
                <c:pt idx="0">
                  <c:v>898587.59999999963</c:v>
                </c:pt>
                <c:pt idx="1">
                  <c:v>5994350.4000000004</c:v>
                </c:pt>
                <c:pt idx="2">
                  <c:v>-3912711.5999999996</c:v>
                </c:pt>
                <c:pt idx="3">
                  <c:v>-5941240</c:v>
                </c:pt>
                <c:pt idx="4">
                  <c:v>-2511860</c:v>
                </c:pt>
                <c:pt idx="5">
                  <c:v>-1823720</c:v>
                </c:pt>
                <c:pt idx="6">
                  <c:v>-1118600</c:v>
                </c:pt>
                <c:pt idx="7">
                  <c:v>-2531000</c:v>
                </c:pt>
                <c:pt idx="8">
                  <c:v>-7062000</c:v>
                </c:pt>
                <c:pt idx="9">
                  <c:v>-5062000</c:v>
                </c:pt>
                <c:pt idx="10">
                  <c:v>6938000</c:v>
                </c:pt>
                <c:pt idx="11">
                  <c:v>18700800</c:v>
                </c:pt>
                <c:pt idx="12">
                  <c:v>11690000</c:v>
                </c:pt>
                <c:pt idx="13">
                  <c:v>-13372000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4C8-42D9-8F0E-9980EC940A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11396016"/>
        <c:axId val="1"/>
      </c:scatterChart>
      <c:valAx>
        <c:axId val="4113960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411396016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>
              <a:noFill/>
            </a:ln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Storks!$H$4:$H$17</c:f>
              <c:numCache>
                <c:formatCode>0</c:formatCode>
                <c:ptCount val="14"/>
                <c:pt idx="0">
                  <c:v>1</c:v>
                </c:pt>
                <c:pt idx="1">
                  <c:v>4</c:v>
                </c:pt>
                <c:pt idx="2">
                  <c:v>9</c:v>
                </c:pt>
                <c:pt idx="3">
                  <c:v>100</c:v>
                </c:pt>
                <c:pt idx="4">
                  <c:v>150</c:v>
                </c:pt>
                <c:pt idx="5">
                  <c:v>300</c:v>
                </c:pt>
                <c:pt idx="6">
                  <c:v>1500</c:v>
                </c:pt>
                <c:pt idx="7">
                  <c:v>2500</c:v>
                </c:pt>
                <c:pt idx="8">
                  <c:v>5000</c:v>
                </c:pt>
                <c:pt idx="9">
                  <c:v>5000</c:v>
                </c:pt>
                <c:pt idx="10">
                  <c:v>5000</c:v>
                </c:pt>
                <c:pt idx="11">
                  <c:v>8000</c:v>
                </c:pt>
                <c:pt idx="12">
                  <c:v>25000</c:v>
                </c:pt>
                <c:pt idx="13">
                  <c:v>30000</c:v>
                </c:pt>
              </c:numCache>
            </c:numRef>
          </c:xVal>
          <c:yVal>
            <c:numRef>
              <c:f>Storks!$I$4:$I$17</c:f>
              <c:numCache>
                <c:formatCode>#,##0</c:formatCode>
                <c:ptCount val="14"/>
                <c:pt idx="0">
                  <c:v>9900000</c:v>
                </c:pt>
                <c:pt idx="1">
                  <c:v>15000000</c:v>
                </c:pt>
                <c:pt idx="2">
                  <c:v>5100000</c:v>
                </c:pt>
                <c:pt idx="3">
                  <c:v>3200000</c:v>
                </c:pt>
                <c:pt idx="4">
                  <c:v>6700000</c:v>
                </c:pt>
                <c:pt idx="5">
                  <c:v>7600000</c:v>
                </c:pt>
                <c:pt idx="6">
                  <c:v>10000000</c:v>
                </c:pt>
                <c:pt idx="7">
                  <c:v>10000000</c:v>
                </c:pt>
                <c:pt idx="8">
                  <c:v>9000000</c:v>
                </c:pt>
                <c:pt idx="9">
                  <c:v>11000000</c:v>
                </c:pt>
                <c:pt idx="10">
                  <c:v>23000000</c:v>
                </c:pt>
                <c:pt idx="11">
                  <c:v>39000000</c:v>
                </c:pt>
                <c:pt idx="12">
                  <c:v>56000000</c:v>
                </c:pt>
                <c:pt idx="13">
                  <c:v>38000000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947-4666-9DC6-E4E36B2473E3}"/>
            </c:ext>
          </c:extLst>
        </c:ser>
        <c:ser>
          <c:idx val="1"/>
          <c:order val="1"/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Storks!$H$4:$H$17</c:f>
              <c:numCache>
                <c:formatCode>0</c:formatCode>
                <c:ptCount val="14"/>
                <c:pt idx="0">
                  <c:v>1</c:v>
                </c:pt>
                <c:pt idx="1">
                  <c:v>4</c:v>
                </c:pt>
                <c:pt idx="2">
                  <c:v>9</c:v>
                </c:pt>
                <c:pt idx="3">
                  <c:v>100</c:v>
                </c:pt>
                <c:pt idx="4">
                  <c:v>150</c:v>
                </c:pt>
                <c:pt idx="5">
                  <c:v>300</c:v>
                </c:pt>
                <c:pt idx="6">
                  <c:v>1500</c:v>
                </c:pt>
                <c:pt idx="7">
                  <c:v>2500</c:v>
                </c:pt>
                <c:pt idx="8">
                  <c:v>5000</c:v>
                </c:pt>
                <c:pt idx="9">
                  <c:v>5000</c:v>
                </c:pt>
                <c:pt idx="10">
                  <c:v>5000</c:v>
                </c:pt>
                <c:pt idx="11">
                  <c:v>8000</c:v>
                </c:pt>
                <c:pt idx="12">
                  <c:v>25000</c:v>
                </c:pt>
                <c:pt idx="13">
                  <c:v>30000</c:v>
                </c:pt>
              </c:numCache>
            </c:numRef>
          </c:xVal>
          <c:yVal>
            <c:numRef>
              <c:f>Storks!$J$4:$J$17</c:f>
              <c:numCache>
                <c:formatCode>0</c:formatCode>
                <c:ptCount val="14"/>
                <c:pt idx="0">
                  <c:v>9001412.4000000004</c:v>
                </c:pt>
                <c:pt idx="1">
                  <c:v>9005649.5999999996</c:v>
                </c:pt>
                <c:pt idx="2">
                  <c:v>9012711.5999999996</c:v>
                </c:pt>
                <c:pt idx="3">
                  <c:v>9141240</c:v>
                </c:pt>
                <c:pt idx="4">
                  <c:v>9211860</c:v>
                </c:pt>
                <c:pt idx="5">
                  <c:v>9423720</c:v>
                </c:pt>
                <c:pt idx="6">
                  <c:v>11118600</c:v>
                </c:pt>
                <c:pt idx="7">
                  <c:v>12531000</c:v>
                </c:pt>
                <c:pt idx="8">
                  <c:v>16062000</c:v>
                </c:pt>
                <c:pt idx="9">
                  <c:v>16062000</c:v>
                </c:pt>
                <c:pt idx="10">
                  <c:v>16062000</c:v>
                </c:pt>
                <c:pt idx="11">
                  <c:v>20299200</c:v>
                </c:pt>
                <c:pt idx="12">
                  <c:v>44310000</c:v>
                </c:pt>
                <c:pt idx="13">
                  <c:v>51372000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947-4666-9DC6-E4E36B2473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11392408"/>
        <c:axId val="1"/>
      </c:scatterChart>
      <c:valAx>
        <c:axId val="411392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411392408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depthPercent val="100"/>
      <c:rAngAx val="1"/>
    </c:view3D>
    <c:floor>
      <c:thickness val="0"/>
      <c:spPr>
        <a:noFill/>
        <a:ln w="6350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/>
      <c:bar3DChart>
        <c:barDir val="col"/>
        <c:grouping val="standard"/>
        <c:varyColors val="0"/>
        <c:ser>
          <c:idx val="1"/>
          <c:order val="0"/>
          <c:tx>
            <c:strRef>
              <c:f>'chi-square'!$B$28</c:f>
              <c:strCache>
                <c:ptCount val="1"/>
                <c:pt idx="0">
                  <c:v>White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val>
            <c:numRef>
              <c:f>'chi-square'!$C$28:$F$28</c:f>
              <c:numCache>
                <c:formatCode>0</c:formatCode>
                <c:ptCount val="4"/>
                <c:pt idx="0">
                  <c:v>28</c:v>
                </c:pt>
                <c:pt idx="1">
                  <c:v>28</c:v>
                </c:pt>
                <c:pt idx="2">
                  <c:v>25</c:v>
                </c:pt>
                <c:pt idx="3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39-4509-AA90-D2C4DA6FA54B}"/>
            </c:ext>
          </c:extLst>
        </c:ser>
        <c:ser>
          <c:idx val="2"/>
          <c:order val="1"/>
          <c:tx>
            <c:strRef>
              <c:f>'chi-square'!$B$29</c:f>
              <c:strCache>
                <c:ptCount val="1"/>
                <c:pt idx="0">
                  <c:v>Silver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val>
            <c:numRef>
              <c:f>'chi-square'!$C$29:$F$29</c:f>
              <c:numCache>
                <c:formatCode>0</c:formatCode>
                <c:ptCount val="4"/>
                <c:pt idx="0">
                  <c:v>14</c:v>
                </c:pt>
                <c:pt idx="1">
                  <c:v>13</c:v>
                </c:pt>
                <c:pt idx="2">
                  <c:v>13</c:v>
                </c:pt>
                <c:pt idx="3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E39-4509-AA90-D2C4DA6FA54B}"/>
            </c:ext>
          </c:extLst>
        </c:ser>
        <c:ser>
          <c:idx val="3"/>
          <c:order val="2"/>
          <c:tx>
            <c:strRef>
              <c:f>'chi-square'!$B$30</c:f>
              <c:strCache>
                <c:ptCount val="1"/>
                <c:pt idx="0">
                  <c:v>Black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val>
            <c:numRef>
              <c:f>'chi-square'!$C$30:$F$30</c:f>
              <c:numCache>
                <c:formatCode>0</c:formatCode>
                <c:ptCount val="4"/>
                <c:pt idx="0">
                  <c:v>20</c:v>
                </c:pt>
                <c:pt idx="1">
                  <c:v>24</c:v>
                </c:pt>
                <c:pt idx="2">
                  <c:v>22</c:v>
                </c:pt>
                <c:pt idx="3">
                  <c:v>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E39-4509-AA90-D2C4DA6FA54B}"/>
            </c:ext>
          </c:extLst>
        </c:ser>
        <c:ser>
          <c:idx val="4"/>
          <c:order val="3"/>
          <c:tx>
            <c:strRef>
              <c:f>'chi-square'!$B$31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val>
            <c:numRef>
              <c:f>'chi-square'!$C$31:$F$31</c:f>
              <c:numCache>
                <c:formatCode>0</c:formatCode>
                <c:ptCount val="4"/>
                <c:pt idx="0">
                  <c:v>36</c:v>
                </c:pt>
                <c:pt idx="1">
                  <c:v>37</c:v>
                </c:pt>
                <c:pt idx="2">
                  <c:v>41</c:v>
                </c:pt>
                <c:pt idx="3">
                  <c:v>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E39-4509-AA90-D2C4DA6FA5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11802352"/>
        <c:axId val="1"/>
        <c:axId val="2"/>
      </c:bar3DChart>
      <c:catAx>
        <c:axId val="411802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411802352"/>
        <c:crosses val="autoZero"/>
        <c:crossBetween val="between"/>
      </c:valAx>
      <c:serAx>
        <c:axId val="2"/>
        <c:scaling>
          <c:orientation val="minMax"/>
        </c:scaling>
        <c:delete val="0"/>
        <c:axPos val="b"/>
        <c:numFmt formatCode="0.0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tickLblSkip val="1"/>
        <c:tickMarkSkip val="1"/>
      </c:ser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/>
        <a:lstStyle/>
        <a:p>
          <a:pPr>
            <a:defRPr sz="690" b="0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depthPercent val="100"/>
      <c:rAngAx val="1"/>
    </c:view3D>
    <c:floor>
      <c:thickness val="0"/>
      <c:spPr>
        <a:noFill/>
        <a:ln w="6350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/>
      <c:bar3DChart>
        <c:barDir val="col"/>
        <c:grouping val="standard"/>
        <c:varyColors val="0"/>
        <c:ser>
          <c:idx val="0"/>
          <c:order val="0"/>
          <c:tx>
            <c:strRef>
              <c:f>'chi-square'!$B$28</c:f>
              <c:strCache>
                <c:ptCount val="1"/>
                <c:pt idx="0">
                  <c:v>White</c:v>
                </c:pt>
              </c:strCache>
            </c:strRef>
          </c:tx>
          <c:spPr>
            <a:solidFill>
              <a:schemeClr val="bg1">
                <a:lumMod val="95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'chi-square'!$C$27:$F$27</c:f>
              <c:strCache>
                <c:ptCount val="4"/>
                <c:pt idx="0">
                  <c:v>North America</c:v>
                </c:pt>
                <c:pt idx="1">
                  <c:v>Europe</c:v>
                </c:pt>
                <c:pt idx="2">
                  <c:v>Asia-Pacific</c:v>
                </c:pt>
                <c:pt idx="3">
                  <c:v>Rest of the World</c:v>
                </c:pt>
              </c:strCache>
            </c:strRef>
          </c:cat>
          <c:val>
            <c:numRef>
              <c:f>'chi-square'!$C$28:$F$28</c:f>
              <c:numCache>
                <c:formatCode>0</c:formatCode>
                <c:ptCount val="4"/>
                <c:pt idx="0">
                  <c:v>28</c:v>
                </c:pt>
                <c:pt idx="1">
                  <c:v>28</c:v>
                </c:pt>
                <c:pt idx="2">
                  <c:v>25</c:v>
                </c:pt>
                <c:pt idx="3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52-4585-B6F0-69DCA6EC89B4}"/>
            </c:ext>
          </c:extLst>
        </c:ser>
        <c:ser>
          <c:idx val="1"/>
          <c:order val="1"/>
          <c:tx>
            <c:strRef>
              <c:f>'chi-square'!$B$29</c:f>
              <c:strCache>
                <c:ptCount val="1"/>
                <c:pt idx="0">
                  <c:v>Silver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'chi-square'!$C$27:$F$27</c:f>
              <c:strCache>
                <c:ptCount val="4"/>
                <c:pt idx="0">
                  <c:v>North America</c:v>
                </c:pt>
                <c:pt idx="1">
                  <c:v>Europe</c:v>
                </c:pt>
                <c:pt idx="2">
                  <c:v>Asia-Pacific</c:v>
                </c:pt>
                <c:pt idx="3">
                  <c:v>Rest of the World</c:v>
                </c:pt>
              </c:strCache>
            </c:strRef>
          </c:cat>
          <c:val>
            <c:numRef>
              <c:f>'chi-square'!$C$29:$F$29</c:f>
              <c:numCache>
                <c:formatCode>0</c:formatCode>
                <c:ptCount val="4"/>
                <c:pt idx="0">
                  <c:v>14</c:v>
                </c:pt>
                <c:pt idx="1">
                  <c:v>13</c:v>
                </c:pt>
                <c:pt idx="2">
                  <c:v>13</c:v>
                </c:pt>
                <c:pt idx="3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252-4585-B6F0-69DCA6EC89B4}"/>
            </c:ext>
          </c:extLst>
        </c:ser>
        <c:ser>
          <c:idx val="2"/>
          <c:order val="2"/>
          <c:tx>
            <c:strRef>
              <c:f>'chi-square'!$B$30</c:f>
              <c:strCache>
                <c:ptCount val="1"/>
                <c:pt idx="0">
                  <c:v>Black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'chi-square'!$C$27:$F$27</c:f>
              <c:strCache>
                <c:ptCount val="4"/>
                <c:pt idx="0">
                  <c:v>North America</c:v>
                </c:pt>
                <c:pt idx="1">
                  <c:v>Europe</c:v>
                </c:pt>
                <c:pt idx="2">
                  <c:v>Asia-Pacific</c:v>
                </c:pt>
                <c:pt idx="3">
                  <c:v>Rest of the World</c:v>
                </c:pt>
              </c:strCache>
            </c:strRef>
          </c:cat>
          <c:val>
            <c:numRef>
              <c:f>'chi-square'!$C$30:$F$30</c:f>
              <c:numCache>
                <c:formatCode>0</c:formatCode>
                <c:ptCount val="4"/>
                <c:pt idx="0">
                  <c:v>20</c:v>
                </c:pt>
                <c:pt idx="1">
                  <c:v>24</c:v>
                </c:pt>
                <c:pt idx="2">
                  <c:v>22</c:v>
                </c:pt>
                <c:pt idx="3">
                  <c:v>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252-4585-B6F0-69DCA6EC89B4}"/>
            </c:ext>
          </c:extLst>
        </c:ser>
        <c:ser>
          <c:idx val="3"/>
          <c:order val="3"/>
          <c:tx>
            <c:strRef>
              <c:f>'chi-square'!$B$31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'chi-square'!$C$27:$F$27</c:f>
              <c:strCache>
                <c:ptCount val="4"/>
                <c:pt idx="0">
                  <c:v>North America</c:v>
                </c:pt>
                <c:pt idx="1">
                  <c:v>Europe</c:v>
                </c:pt>
                <c:pt idx="2">
                  <c:v>Asia-Pacific</c:v>
                </c:pt>
                <c:pt idx="3">
                  <c:v>Rest of the World</c:v>
                </c:pt>
              </c:strCache>
            </c:strRef>
          </c:cat>
          <c:val>
            <c:numRef>
              <c:f>'chi-square'!$C$31:$F$31</c:f>
              <c:numCache>
                <c:formatCode>0</c:formatCode>
                <c:ptCount val="4"/>
                <c:pt idx="0">
                  <c:v>36</c:v>
                </c:pt>
                <c:pt idx="1">
                  <c:v>37</c:v>
                </c:pt>
                <c:pt idx="2">
                  <c:v>41</c:v>
                </c:pt>
                <c:pt idx="3">
                  <c:v>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252-4585-B6F0-69DCA6EC89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11799072"/>
        <c:axId val="1"/>
        <c:axId val="2"/>
      </c:bar3DChart>
      <c:catAx>
        <c:axId val="411799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411799072"/>
        <c:crosses val="autoZero"/>
        <c:crossBetween val="between"/>
      </c:valAx>
      <c:serAx>
        <c:axId val="2"/>
        <c:scaling>
          <c:orientation val="minMax"/>
        </c:scaling>
        <c:delete val="0"/>
        <c:axPos val="b"/>
        <c:numFmt formatCode="0.0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tickLblSkip val="1"/>
        <c:tickMarkSkip val="1"/>
      </c:ser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Fisher!$K$5:$K$11</c:f>
              <c:numCache>
                <c:formatCode>0.000</c:formatCode>
                <c:ptCount val="7"/>
                <c:pt idx="0">
                  <c:v>4.5248868778280538E-3</c:v>
                </c:pt>
                <c:pt idx="1">
                  <c:v>6.1085972850678731E-2</c:v>
                </c:pt>
                <c:pt idx="2">
                  <c:v>0.24434389140271492</c:v>
                </c:pt>
                <c:pt idx="3">
                  <c:v>0.38009049773755654</c:v>
                </c:pt>
                <c:pt idx="4">
                  <c:v>0.24434389140271492</c:v>
                </c:pt>
                <c:pt idx="5">
                  <c:v>6.1085972850678731E-2</c:v>
                </c:pt>
                <c:pt idx="6">
                  <c:v>4.5248868778280538E-3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9B83-4AD7-AD7A-9F24613C65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13972336"/>
        <c:axId val="1"/>
      </c:scatterChart>
      <c:valAx>
        <c:axId val="4139723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413972336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Factors!$O$3:$P$3</c:f>
              <c:strCache>
                <c:ptCount val="1"/>
                <c:pt idx="0">
                  <c:v>FactorY FactorO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Factors!$O$4:$O$9</c:f>
              <c:numCache>
                <c:formatCode>0.000</c:formatCode>
                <c:ptCount val="6"/>
                <c:pt idx="0">
                  <c:v>0.77449999999999997</c:v>
                </c:pt>
                <c:pt idx="1">
                  <c:v>0.78899999999999992</c:v>
                </c:pt>
                <c:pt idx="2">
                  <c:v>0.72449999999999992</c:v>
                </c:pt>
                <c:pt idx="3">
                  <c:v>-0.12366666666666666</c:v>
                </c:pt>
                <c:pt idx="4">
                  <c:v>-2.7333333333333328E-3</c:v>
                </c:pt>
                <c:pt idx="5">
                  <c:v>-2.1000000000000001E-2</c:v>
                </c:pt>
              </c:numCache>
            </c:numRef>
          </c:xVal>
          <c:yVal>
            <c:numRef>
              <c:f>Factors!$P$4:$P$9</c:f>
              <c:numCache>
                <c:formatCode>0.000</c:formatCode>
                <c:ptCount val="6"/>
                <c:pt idx="0">
                  <c:v>-4.0733333333333337E-2</c:v>
                </c:pt>
                <c:pt idx="1">
                  <c:v>2.4333333333333335E-2</c:v>
                </c:pt>
                <c:pt idx="2">
                  <c:v>-0.13100000000000001</c:v>
                </c:pt>
                <c:pt idx="3">
                  <c:v>0.64500000000000002</c:v>
                </c:pt>
                <c:pt idx="4">
                  <c:v>0.69699999999999995</c:v>
                </c:pt>
                <c:pt idx="5">
                  <c:v>0.64999999999999991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153-4D1F-BA69-C9B646AF28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13972992"/>
        <c:axId val="1"/>
      </c:scatterChart>
      <c:valAx>
        <c:axId val="41397299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95000"/>
                </a:schemeClr>
              </a:solidFill>
              <a:prstDash val="solid"/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95000"/>
                </a:schemeClr>
              </a:solidFill>
              <a:prstDash val="solid"/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413972992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Factors!$H$32</c:f>
              <c:strCache>
                <c:ptCount val="1"/>
                <c:pt idx="0">
                  <c:v>Eigenvalue Total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Factors!$G$33:$G$38</c:f>
              <c:numCache>
                <c:formatCode>0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xVal>
          <c:yVal>
            <c:numRef>
              <c:f>Factors!$H$33:$H$38</c:f>
              <c:numCache>
                <c:formatCode>0.000</c:formatCode>
                <c:ptCount val="6"/>
                <c:pt idx="0">
                  <c:v>2.3559999999999999</c:v>
                </c:pt>
                <c:pt idx="1">
                  <c:v>2.1840000000000002</c:v>
                </c:pt>
                <c:pt idx="2">
                  <c:v>0.20499999999999999</c:v>
                </c:pt>
                <c:pt idx="3">
                  <c:v>0.192</c:v>
                </c:pt>
                <c:pt idx="4">
                  <c:v>0.17299999999999999</c:v>
                </c:pt>
                <c:pt idx="5">
                  <c:v>8.1000000000000003E-2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FEB-4386-BE79-A957488E39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13976272"/>
        <c:axId val="1"/>
      </c:scatterChart>
      <c:valAx>
        <c:axId val="4139762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9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9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413976272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22225" cap="rnd">
              <a:solidFill>
                <a:schemeClr val="bg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Series!$B$4:$B$36</c:f>
              <c:numCache>
                <c:formatCode>0.00</c:formatCode>
                <c:ptCount val="33"/>
                <c:pt idx="0">
                  <c:v>116.95</c:v>
                </c:pt>
                <c:pt idx="1">
                  <c:v>116.64</c:v>
                </c:pt>
                <c:pt idx="2">
                  <c:v>115.97</c:v>
                </c:pt>
                <c:pt idx="3">
                  <c:v>115.82</c:v>
                </c:pt>
                <c:pt idx="4">
                  <c:v>115.19</c:v>
                </c:pt>
                <c:pt idx="5">
                  <c:v>115.19</c:v>
                </c:pt>
                <c:pt idx="6">
                  <c:v>113.3</c:v>
                </c:pt>
                <c:pt idx="7">
                  <c:v>113.95</c:v>
                </c:pt>
                <c:pt idx="8">
                  <c:v>112.12</c:v>
                </c:pt>
                <c:pt idx="9">
                  <c:v>111.03</c:v>
                </c:pt>
                <c:pt idx="10">
                  <c:v>109.95</c:v>
                </c:pt>
                <c:pt idx="11">
                  <c:v>109.11</c:v>
                </c:pt>
                <c:pt idx="12">
                  <c:v>109.9</c:v>
                </c:pt>
                <c:pt idx="13">
                  <c:v>109.49</c:v>
                </c:pt>
                <c:pt idx="14">
                  <c:v>110.52</c:v>
                </c:pt>
                <c:pt idx="15">
                  <c:v>111.46</c:v>
                </c:pt>
                <c:pt idx="16">
                  <c:v>111.57</c:v>
                </c:pt>
                <c:pt idx="17">
                  <c:v>111.79</c:v>
                </c:pt>
                <c:pt idx="18">
                  <c:v>111.23</c:v>
                </c:pt>
                <c:pt idx="19">
                  <c:v>111.8</c:v>
                </c:pt>
                <c:pt idx="20">
                  <c:v>111.73</c:v>
                </c:pt>
                <c:pt idx="21">
                  <c:v>110.06</c:v>
                </c:pt>
                <c:pt idx="22">
                  <c:v>109.95</c:v>
                </c:pt>
                <c:pt idx="23">
                  <c:v>109.99</c:v>
                </c:pt>
                <c:pt idx="24">
                  <c:v>107.11</c:v>
                </c:pt>
                <c:pt idx="25">
                  <c:v>105.71</c:v>
                </c:pt>
                <c:pt idx="26">
                  <c:v>108.43</c:v>
                </c:pt>
                <c:pt idx="27">
                  <c:v>107.79</c:v>
                </c:pt>
                <c:pt idx="28">
                  <c:v>110.88</c:v>
                </c:pt>
                <c:pt idx="29">
                  <c:v>111.06</c:v>
                </c:pt>
                <c:pt idx="30">
                  <c:v>110.41</c:v>
                </c:pt>
                <c:pt idx="31">
                  <c:v>108.84</c:v>
                </c:pt>
                <c:pt idx="32">
                  <c:v>109.83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24E-479E-B38C-892248474351}"/>
            </c:ext>
          </c:extLst>
        </c:ser>
        <c:ser>
          <c:idx val="1"/>
          <c:order val="1"/>
          <c:spPr>
            <a:ln w="22225" cap="rnd">
              <a:solidFill>
                <a:srgbClr val="FF0000"/>
              </a:solidFill>
              <a:prstDash val="sysDot"/>
              <a:round/>
            </a:ln>
            <a:effectLst/>
          </c:spPr>
          <c:marker>
            <c:symbol val="none"/>
          </c:marker>
          <c:val>
            <c:numRef>
              <c:f>Series!$C$4:$C$36</c:f>
              <c:numCache>
                <c:formatCode>0.00</c:formatCode>
                <c:ptCount val="33"/>
                <c:pt idx="0">
                  <c:v>116.95</c:v>
                </c:pt>
                <c:pt idx="1">
                  <c:v>116.795</c:v>
                </c:pt>
                <c:pt idx="2">
                  <c:v>116.38249999999999</c:v>
                </c:pt>
                <c:pt idx="3">
                  <c:v>116.10124999999999</c:v>
                </c:pt>
                <c:pt idx="4">
                  <c:v>115.645625</c:v>
                </c:pt>
                <c:pt idx="5">
                  <c:v>115.4178125</c:v>
                </c:pt>
                <c:pt idx="6">
                  <c:v>114.35890624999999</c:v>
                </c:pt>
                <c:pt idx="7">
                  <c:v>114.154453125</c:v>
                </c:pt>
                <c:pt idx="8">
                  <c:v>113.1372265625</c:v>
                </c:pt>
                <c:pt idx="9">
                  <c:v>112.08361328125</c:v>
                </c:pt>
                <c:pt idx="10">
                  <c:v>111.01680664062499</c:v>
                </c:pt>
                <c:pt idx="11">
                  <c:v>110.06340332031249</c:v>
                </c:pt>
                <c:pt idx="12">
                  <c:v>109.98170166015625</c:v>
                </c:pt>
                <c:pt idx="13">
                  <c:v>109.73585083007812</c:v>
                </c:pt>
                <c:pt idx="14">
                  <c:v>110.12792541503906</c:v>
                </c:pt>
                <c:pt idx="15">
                  <c:v>110.79396270751953</c:v>
                </c:pt>
                <c:pt idx="16">
                  <c:v>111.18198135375977</c:v>
                </c:pt>
                <c:pt idx="17">
                  <c:v>111.48599067687988</c:v>
                </c:pt>
                <c:pt idx="18">
                  <c:v>111.35799533843993</c:v>
                </c:pt>
                <c:pt idx="19">
                  <c:v>111.57899766921997</c:v>
                </c:pt>
                <c:pt idx="20">
                  <c:v>111.65449883461</c:v>
                </c:pt>
                <c:pt idx="21">
                  <c:v>110.857249417305</c:v>
                </c:pt>
                <c:pt idx="22">
                  <c:v>110.4036247086525</c:v>
                </c:pt>
                <c:pt idx="23">
                  <c:v>110.19681235432625</c:v>
                </c:pt>
                <c:pt idx="24">
                  <c:v>108.65340617716313</c:v>
                </c:pt>
                <c:pt idx="25">
                  <c:v>107.18170308858157</c:v>
                </c:pt>
                <c:pt idx="26">
                  <c:v>107.80585154429079</c:v>
                </c:pt>
                <c:pt idx="27">
                  <c:v>107.79792577214539</c:v>
                </c:pt>
                <c:pt idx="28">
                  <c:v>109.33896288607269</c:v>
                </c:pt>
                <c:pt idx="29">
                  <c:v>110.19948144303635</c:v>
                </c:pt>
                <c:pt idx="30">
                  <c:v>110.30474072151817</c:v>
                </c:pt>
                <c:pt idx="31">
                  <c:v>109.57237036075909</c:v>
                </c:pt>
                <c:pt idx="32">
                  <c:v>109.70118518037955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24E-479E-B38C-892248474351}"/>
            </c:ext>
          </c:extLst>
        </c:ser>
        <c:ser>
          <c:idx val="2"/>
          <c:order val="2"/>
          <c:spPr>
            <a:ln w="22225" cap="rnd">
              <a:solidFill>
                <a:schemeClr val="accent6"/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Series!$D$4:$D$36</c:f>
              <c:numCache>
                <c:formatCode>0.00</c:formatCode>
                <c:ptCount val="33"/>
                <c:pt idx="0">
                  <c:v>116.95</c:v>
                </c:pt>
                <c:pt idx="1">
                  <c:v>116.857</c:v>
                </c:pt>
                <c:pt idx="2">
                  <c:v>116.59089999999999</c:v>
                </c:pt>
                <c:pt idx="3">
                  <c:v>116.35962999999998</c:v>
                </c:pt>
                <c:pt idx="4">
                  <c:v>116.00874099999999</c:v>
                </c:pt>
                <c:pt idx="5">
                  <c:v>115.76311869999998</c:v>
                </c:pt>
                <c:pt idx="6">
                  <c:v>115.02418308999998</c:v>
                </c:pt>
                <c:pt idx="7">
                  <c:v>114.70192816299998</c:v>
                </c:pt>
                <c:pt idx="8">
                  <c:v>113.92734971409999</c:v>
                </c:pt>
                <c:pt idx="9">
                  <c:v>113.05814479986998</c:v>
                </c:pt>
                <c:pt idx="10">
                  <c:v>112.12570135990897</c:v>
                </c:pt>
                <c:pt idx="11">
                  <c:v>111.22099095193627</c:v>
                </c:pt>
                <c:pt idx="12">
                  <c:v>110.82469366635539</c:v>
                </c:pt>
                <c:pt idx="13">
                  <c:v>110.42428556644876</c:v>
                </c:pt>
                <c:pt idx="14">
                  <c:v>110.45299989651411</c:v>
                </c:pt>
                <c:pt idx="15">
                  <c:v>110.75509992755988</c:v>
                </c:pt>
                <c:pt idx="16">
                  <c:v>110.9995699492919</c:v>
                </c:pt>
                <c:pt idx="17">
                  <c:v>111.23669896450431</c:v>
                </c:pt>
                <c:pt idx="18">
                  <c:v>111.23468927515302</c:v>
                </c:pt>
                <c:pt idx="19">
                  <c:v>111.40428249260711</c:v>
                </c:pt>
                <c:pt idx="20">
                  <c:v>111.50199774482496</c:v>
                </c:pt>
                <c:pt idx="21">
                  <c:v>111.06939842137747</c:v>
                </c:pt>
                <c:pt idx="22">
                  <c:v>110.73357889496423</c:v>
                </c:pt>
                <c:pt idx="23">
                  <c:v>110.51050522647495</c:v>
                </c:pt>
                <c:pt idx="24">
                  <c:v>109.49035365853246</c:v>
                </c:pt>
                <c:pt idx="25">
                  <c:v>108.3562475609727</c:v>
                </c:pt>
                <c:pt idx="26">
                  <c:v>108.37837329268089</c:v>
                </c:pt>
                <c:pt idx="27">
                  <c:v>108.20186130487662</c:v>
                </c:pt>
                <c:pt idx="28">
                  <c:v>109.00530291341362</c:v>
                </c:pt>
                <c:pt idx="29">
                  <c:v>109.62171203938952</c:v>
                </c:pt>
                <c:pt idx="30">
                  <c:v>109.85819842757266</c:v>
                </c:pt>
                <c:pt idx="31">
                  <c:v>109.55273889930086</c:v>
                </c:pt>
                <c:pt idx="32">
                  <c:v>109.6359172295106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24E-479E-B38C-892248474351}"/>
            </c:ext>
          </c:extLst>
        </c:ser>
        <c:ser>
          <c:idx val="3"/>
          <c:order val="3"/>
          <c:spPr>
            <a:ln w="19050" cap="rnd">
              <a:solidFill>
                <a:schemeClr val="accent1"/>
              </a:solidFill>
              <a:prstDash val="dash"/>
              <a:round/>
            </a:ln>
            <a:effectLst/>
          </c:spPr>
          <c:marker>
            <c:symbol val="none"/>
          </c:marker>
          <c:val>
            <c:numRef>
              <c:f>Series!$E$4:$E$36</c:f>
              <c:numCache>
                <c:formatCode>0.00</c:formatCode>
                <c:ptCount val="33"/>
                <c:pt idx="0">
                  <c:v>116.95</c:v>
                </c:pt>
                <c:pt idx="1">
                  <c:v>116.91900000000001</c:v>
                </c:pt>
                <c:pt idx="2">
                  <c:v>116.82410000000002</c:v>
                </c:pt>
                <c:pt idx="3">
                  <c:v>116.72369</c:v>
                </c:pt>
                <c:pt idx="4">
                  <c:v>116.57032100000001</c:v>
                </c:pt>
                <c:pt idx="5">
                  <c:v>116.43228890000002</c:v>
                </c:pt>
                <c:pt idx="6">
                  <c:v>116.11906001000001</c:v>
                </c:pt>
                <c:pt idx="7">
                  <c:v>115.90215400900001</c:v>
                </c:pt>
                <c:pt idx="8">
                  <c:v>115.52393860810002</c:v>
                </c:pt>
                <c:pt idx="9">
                  <c:v>115.07454474729002</c:v>
                </c:pt>
                <c:pt idx="10">
                  <c:v>114.56209027256102</c:v>
                </c:pt>
                <c:pt idx="11">
                  <c:v>114.01688124530493</c:v>
                </c:pt>
                <c:pt idx="12">
                  <c:v>113.60519312077443</c:v>
                </c:pt>
                <c:pt idx="13">
                  <c:v>113.19367380869699</c:v>
                </c:pt>
                <c:pt idx="14">
                  <c:v>112.92630642782729</c:v>
                </c:pt>
                <c:pt idx="15">
                  <c:v>112.77967578504456</c:v>
                </c:pt>
                <c:pt idx="16">
                  <c:v>112.6587082065401</c:v>
                </c:pt>
                <c:pt idx="17">
                  <c:v>112.5718373858861</c:v>
                </c:pt>
                <c:pt idx="18">
                  <c:v>112.43765364729749</c:v>
                </c:pt>
                <c:pt idx="19">
                  <c:v>112.37388828256775</c:v>
                </c:pt>
                <c:pt idx="20">
                  <c:v>112.30949945431098</c:v>
                </c:pt>
                <c:pt idx="21">
                  <c:v>112.08454950887989</c:v>
                </c:pt>
                <c:pt idx="22">
                  <c:v>111.87109455799191</c:v>
                </c:pt>
                <c:pt idx="23">
                  <c:v>111.68298510219272</c:v>
                </c:pt>
                <c:pt idx="24">
                  <c:v>111.22568659197344</c:v>
                </c:pt>
                <c:pt idx="25">
                  <c:v>110.6741179327761</c:v>
                </c:pt>
                <c:pt idx="26">
                  <c:v>110.44970613949849</c:v>
                </c:pt>
                <c:pt idx="27">
                  <c:v>110.18373552554864</c:v>
                </c:pt>
                <c:pt idx="28">
                  <c:v>110.25336197299379</c:v>
                </c:pt>
                <c:pt idx="29">
                  <c:v>110.33402577569441</c:v>
                </c:pt>
                <c:pt idx="30">
                  <c:v>110.34162319812498</c:v>
                </c:pt>
                <c:pt idx="31">
                  <c:v>110.19146087831248</c:v>
                </c:pt>
                <c:pt idx="32">
                  <c:v>110.15531479048124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24E-479E-B38C-8922484743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3974632"/>
        <c:axId val="1"/>
      </c:lineChart>
      <c:catAx>
        <c:axId val="413974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41397463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22225" cap="rnd">
              <a:solidFill>
                <a:schemeClr val="bg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Series!$S$4:$S$36</c:f>
              <c:numCache>
                <c:formatCode>0.00</c:formatCode>
                <c:ptCount val="33"/>
                <c:pt idx="0">
                  <c:v>116.95</c:v>
                </c:pt>
                <c:pt idx="1">
                  <c:v>116.64</c:v>
                </c:pt>
                <c:pt idx="2">
                  <c:v>115.97</c:v>
                </c:pt>
                <c:pt idx="3">
                  <c:v>115.82</c:v>
                </c:pt>
                <c:pt idx="4">
                  <c:v>115.19</c:v>
                </c:pt>
                <c:pt idx="5">
                  <c:v>115.19</c:v>
                </c:pt>
                <c:pt idx="6">
                  <c:v>113.3</c:v>
                </c:pt>
                <c:pt idx="7">
                  <c:v>113.95</c:v>
                </c:pt>
                <c:pt idx="8">
                  <c:v>112.12</c:v>
                </c:pt>
                <c:pt idx="9">
                  <c:v>111.03</c:v>
                </c:pt>
                <c:pt idx="10">
                  <c:v>109.95</c:v>
                </c:pt>
                <c:pt idx="11">
                  <c:v>109.11</c:v>
                </c:pt>
                <c:pt idx="12">
                  <c:v>109.9</c:v>
                </c:pt>
                <c:pt idx="13">
                  <c:v>109.49</c:v>
                </c:pt>
                <c:pt idx="14">
                  <c:v>110.52</c:v>
                </c:pt>
                <c:pt idx="15">
                  <c:v>111.46</c:v>
                </c:pt>
                <c:pt idx="16">
                  <c:v>111.57</c:v>
                </c:pt>
                <c:pt idx="17">
                  <c:v>111.79</c:v>
                </c:pt>
                <c:pt idx="18">
                  <c:v>111.23</c:v>
                </c:pt>
                <c:pt idx="19">
                  <c:v>111.8</c:v>
                </c:pt>
                <c:pt idx="20">
                  <c:v>111.73</c:v>
                </c:pt>
                <c:pt idx="21">
                  <c:v>110.06</c:v>
                </c:pt>
                <c:pt idx="22">
                  <c:v>109.95</c:v>
                </c:pt>
                <c:pt idx="23">
                  <c:v>109.99</c:v>
                </c:pt>
                <c:pt idx="24">
                  <c:v>107.11</c:v>
                </c:pt>
                <c:pt idx="25">
                  <c:v>105.71</c:v>
                </c:pt>
                <c:pt idx="26">
                  <c:v>108.43</c:v>
                </c:pt>
                <c:pt idx="27">
                  <c:v>107.79</c:v>
                </c:pt>
                <c:pt idx="28">
                  <c:v>110.88</c:v>
                </c:pt>
                <c:pt idx="29">
                  <c:v>111.06</c:v>
                </c:pt>
                <c:pt idx="30">
                  <c:v>110.41</c:v>
                </c:pt>
                <c:pt idx="31">
                  <c:v>108.84</c:v>
                </c:pt>
                <c:pt idx="32">
                  <c:v>109.83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E8E-4FB7-92B6-86B629C7B70F}"/>
            </c:ext>
          </c:extLst>
        </c:ser>
        <c:ser>
          <c:idx val="1"/>
          <c:order val="1"/>
          <c:spPr>
            <a:ln w="22225" cap="rnd">
              <a:solidFill>
                <a:srgbClr val="FF0000"/>
              </a:solidFill>
              <a:prstDash val="sysDot"/>
              <a:round/>
            </a:ln>
            <a:effectLst/>
          </c:spPr>
          <c:marker>
            <c:symbol val="none"/>
          </c:marker>
          <c:val>
            <c:numRef>
              <c:f>Series!$T$4:$T$36</c:f>
              <c:numCache>
                <c:formatCode>0.00</c:formatCode>
                <c:ptCount val="33"/>
                <c:pt idx="0">
                  <c:v>116.95</c:v>
                </c:pt>
                <c:pt idx="1">
                  <c:v>116.64</c:v>
                </c:pt>
                <c:pt idx="2">
                  <c:v>116.15</c:v>
                </c:pt>
                <c:pt idx="3">
                  <c:v>115.74</c:v>
                </c:pt>
                <c:pt idx="4">
                  <c:v>115.30499999999999</c:v>
                </c:pt>
                <c:pt idx="5">
                  <c:v>115.00999999999999</c:v>
                </c:pt>
                <c:pt idx="6">
                  <c:v>114.03625</c:v>
                </c:pt>
                <c:pt idx="7">
                  <c:v>113.46125000000001</c:v>
                </c:pt>
                <c:pt idx="8">
                  <c:v>112.68718750000001</c:v>
                </c:pt>
                <c:pt idx="9">
                  <c:v>111.34937500000001</c:v>
                </c:pt>
                <c:pt idx="10">
                  <c:v>110.122578125</c:v>
                </c:pt>
                <c:pt idx="11">
                  <c:v>109.082734375</c:v>
                </c:pt>
                <c:pt idx="12">
                  <c:v>109.01458984375</c:v>
                </c:pt>
                <c:pt idx="13">
                  <c:v>109.21140625000001</c:v>
                </c:pt>
                <c:pt idx="14">
                  <c:v>109.74275878906249</c:v>
                </c:pt>
                <c:pt idx="15">
                  <c:v>110.79740722656248</c:v>
                </c:pt>
                <c:pt idx="16">
                  <c:v>111.51671752929687</c:v>
                </c:pt>
                <c:pt idx="17">
                  <c:v>111.84736572265625</c:v>
                </c:pt>
                <c:pt idx="18">
                  <c:v>111.69068634033204</c:v>
                </c:pt>
                <c:pt idx="19">
                  <c:v>111.68134490966797</c:v>
                </c:pt>
                <c:pt idx="20">
                  <c:v>111.81617332458497</c:v>
                </c:pt>
                <c:pt idx="21">
                  <c:v>110.97583709716798</c:v>
                </c:pt>
                <c:pt idx="22">
                  <c:v>110.06429376602173</c:v>
                </c:pt>
                <c:pt idx="23">
                  <c:v>109.80033449172973</c:v>
                </c:pt>
                <c:pt idx="24">
                  <c:v>108.3517610502243</c:v>
                </c:pt>
                <c:pt idx="25">
                  <c:v>106.25917742729186</c:v>
                </c:pt>
                <c:pt idx="26">
                  <c:v>106.6087371647358</c:v>
                </c:pt>
                <c:pt idx="27">
                  <c:v>107.51144280791283</c:v>
                </c:pt>
                <c:pt idx="28">
                  <c:v>109.19175851672887</c:v>
                </c:pt>
                <c:pt idx="29">
                  <c:v>110.89639781475066</c:v>
                </c:pt>
                <c:pt idx="30">
                  <c:v>111.08345818556845</c:v>
                </c:pt>
                <c:pt idx="31">
                  <c:v>110.01435873188078</c:v>
                </c:pt>
                <c:pt idx="32">
                  <c:v>109.55599418548866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E8E-4FB7-92B6-86B629C7B70F}"/>
            </c:ext>
          </c:extLst>
        </c:ser>
        <c:ser>
          <c:idx val="2"/>
          <c:order val="2"/>
          <c:spPr>
            <a:ln w="22225" cap="rnd">
              <a:solidFill>
                <a:srgbClr val="00B050"/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Series!$U$4:$U$36</c:f>
              <c:numCache>
                <c:formatCode>0.00</c:formatCode>
                <c:ptCount val="33"/>
                <c:pt idx="0">
                  <c:v>116.95</c:v>
                </c:pt>
                <c:pt idx="1">
                  <c:v>116.64</c:v>
                </c:pt>
                <c:pt idx="2">
                  <c:v>116.276</c:v>
                </c:pt>
                <c:pt idx="3">
                  <c:v>115.86039999999998</c:v>
                </c:pt>
                <c:pt idx="4">
                  <c:v>115.42931999999998</c:v>
                </c:pt>
                <c:pt idx="5">
                  <c:v>115.02705199999997</c:v>
                </c:pt>
                <c:pt idx="6">
                  <c:v>114.47433099999995</c:v>
                </c:pt>
                <c:pt idx="7">
                  <c:v>113.78708291999996</c:v>
                </c:pt>
                <c:pt idx="8">
                  <c:v>113.06803764799997</c:v>
                </c:pt>
                <c:pt idx="9">
                  <c:v>112.11753207639998</c:v>
                </c:pt>
                <c:pt idx="10">
                  <c:v>110.93367052193999</c:v>
                </c:pt>
                <c:pt idx="11">
                  <c:v>109.71099957577999</c:v>
                </c:pt>
                <c:pt idx="12">
                  <c:v>108.8165363972164</c:v>
                </c:pt>
                <c:pt idx="13">
                  <c:v>108.44080882022075</c:v>
                </c:pt>
                <c:pt idx="14">
                  <c:v>108.52679328320426</c:v>
                </c:pt>
                <c:pt idx="15">
                  <c:v>109.10634113004653</c:v>
                </c:pt>
                <c:pt idx="16">
                  <c:v>109.97978478638099</c:v>
                </c:pt>
                <c:pt idx="17">
                  <c:v>110.79634574642934</c:v>
                </c:pt>
                <c:pt idx="18">
                  <c:v>111.31348472062166</c:v>
                </c:pt>
                <c:pt idx="19">
                  <c:v>111.56512586426253</c:v>
                </c:pt>
                <c:pt idx="20">
                  <c:v>111.73737656276867</c:v>
                </c:pt>
                <c:pt idx="21">
                  <c:v>111.60508421250765</c:v>
                </c:pt>
                <c:pt idx="22">
                  <c:v>111.03369511339773</c:v>
                </c:pt>
                <c:pt idx="23">
                  <c:v>110.39585645174171</c:v>
                </c:pt>
                <c:pt idx="24">
                  <c:v>109.53971505107623</c:v>
                </c:pt>
                <c:pt idx="25">
                  <c:v>108.0813143950776</c:v>
                </c:pt>
                <c:pt idx="26">
                  <c:v>106.86813110695492</c:v>
                </c:pt>
                <c:pt idx="27">
                  <c:v>106.59454507879141</c:v>
                </c:pt>
                <c:pt idx="28">
                  <c:v>107.23667161832421</c:v>
                </c:pt>
                <c:pt idx="29">
                  <c:v>108.59152953180961</c:v>
                </c:pt>
                <c:pt idx="30">
                  <c:v>109.87694041871205</c:v>
                </c:pt>
                <c:pt idx="31">
                  <c:v>110.33393119407675</c:v>
                </c:pt>
                <c:pt idx="32">
                  <c:v>110.16707490321576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E8E-4FB7-92B6-86B629C7B70F}"/>
            </c:ext>
          </c:extLst>
        </c:ser>
        <c:ser>
          <c:idx val="3"/>
          <c:order val="3"/>
          <c:spPr>
            <a:ln w="22225" cap="rnd">
              <a:solidFill>
                <a:schemeClr val="accent1"/>
              </a:solidFill>
              <a:prstDash val="dash"/>
              <a:round/>
            </a:ln>
            <a:effectLst/>
          </c:spPr>
          <c:marker>
            <c:symbol val="none"/>
          </c:marker>
          <c:val>
            <c:numRef>
              <c:f>Series!$V$4:$V$36</c:f>
              <c:numCache>
                <c:formatCode>0.00</c:formatCode>
                <c:ptCount val="33"/>
                <c:pt idx="0">
                  <c:v>116.95</c:v>
                </c:pt>
                <c:pt idx="1">
                  <c:v>116.64</c:v>
                </c:pt>
                <c:pt idx="2">
                  <c:v>116.3246</c:v>
                </c:pt>
                <c:pt idx="3">
                  <c:v>115.99432</c:v>
                </c:pt>
                <c:pt idx="4">
                  <c:v>115.64494199999999</c:v>
                </c:pt>
                <c:pt idx="5">
                  <c:v>115.28076559999998</c:v>
                </c:pt>
                <c:pt idx="6">
                  <c:v>114.89176935999998</c:v>
                </c:pt>
                <c:pt idx="7">
                  <c:v>114.45403832399998</c:v>
                </c:pt>
                <c:pt idx="8">
                  <c:v>113.95904977639998</c:v>
                </c:pt>
                <c:pt idx="9">
                  <c:v>113.38943429991998</c:v>
                </c:pt>
                <c:pt idx="10">
                  <c:v>112.71139508484598</c:v>
                </c:pt>
                <c:pt idx="11">
                  <c:v>111.91559144048959</c:v>
                </c:pt>
                <c:pt idx="12">
                  <c:v>111.04945786690305</c:v>
                </c:pt>
                <c:pt idx="13">
                  <c:v>110.20748601383082</c:v>
                </c:pt>
                <c:pt idx="14">
                  <c:v>109.48260500527493</c:v>
                </c:pt>
                <c:pt idx="15">
                  <c:v>108.9515866574767</c:v>
                </c:pt>
                <c:pt idx="16">
                  <c:v>108.66251301233508</c:v>
                </c:pt>
                <c:pt idx="17">
                  <c:v>108.60180210258578</c:v>
                </c:pt>
                <c:pt idx="18">
                  <c:v>108.69977608595086</c:v>
                </c:pt>
                <c:pt idx="19">
                  <c:v>108.87697872086468</c:v>
                </c:pt>
                <c:pt idx="20">
                  <c:v>109.08726709935715</c:v>
                </c:pt>
                <c:pt idx="21">
                  <c:v>109.2863751084096</c:v>
                </c:pt>
                <c:pt idx="22">
                  <c:v>109.40179446534859</c:v>
                </c:pt>
                <c:pt idx="23">
                  <c:v>109.39639426586416</c:v>
                </c:pt>
                <c:pt idx="24">
                  <c:v>109.25899510652496</c:v>
                </c:pt>
                <c:pt idx="25">
                  <c:v>108.92761619524597</c:v>
                </c:pt>
                <c:pt idx="26">
                  <c:v>108.39816187125616</c:v>
                </c:pt>
                <c:pt idx="27">
                  <c:v>107.81745846243402</c:v>
                </c:pt>
                <c:pt idx="28">
                  <c:v>107.3744494788702</c:v>
                </c:pt>
                <c:pt idx="29">
                  <c:v>107.20751160348456</c:v>
                </c:pt>
                <c:pt idx="30">
                  <c:v>107.33661040460937</c:v>
                </c:pt>
                <c:pt idx="31">
                  <c:v>107.62796979101918</c:v>
                </c:pt>
                <c:pt idx="32">
                  <c:v>107.91547404873842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E8E-4FB7-92B6-86B629C7B7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3983488"/>
        <c:axId val="1"/>
      </c:lineChart>
      <c:catAx>
        <c:axId val="413983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41398348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/>
        <a:lstStyle/>
        <a:p>
          <a:pPr>
            <a:defRPr sz="755" b="0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xVal>
            <c:numRef>
              <c:f>Distributions!$B$53:$B$90</c:f>
              <c:numCache>
                <c:formatCode>0</c:formatCode>
                <c:ptCount val="3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</c:numCache>
            </c:numRef>
          </c:xVal>
          <c:yVal>
            <c:numRef>
              <c:f>Distributions!$C$53:$C$90</c:f>
              <c:numCache>
                <c:formatCode>0.00</c:formatCode>
                <c:ptCount val="38"/>
                <c:pt idx="8">
                  <c:v>2.4869121261872281E-4</c:v>
                </c:pt>
                <c:pt idx="9">
                  <c:v>7.7094275911804278E-4</c:v>
                </c:pt>
                <c:pt idx="10">
                  <c:v>2.1025711612310239E-3</c:v>
                </c:pt>
                <c:pt idx="11">
                  <c:v>5.0812136396416489E-3</c:v>
                </c:pt>
                <c:pt idx="12">
                  <c:v>1.094415245461278E-2</c:v>
                </c:pt>
                <c:pt idx="13">
                  <c:v>2.1106579733896052E-2</c:v>
                </c:pt>
                <c:pt idx="14">
                  <c:v>3.6584738205419853E-2</c:v>
                </c:pt>
                <c:pt idx="15">
                  <c:v>5.7163653445968521E-2</c:v>
                </c:pt>
                <c:pt idx="16">
                  <c:v>8.07016283943085E-2</c:v>
                </c:pt>
                <c:pt idx="17">
                  <c:v>0.10311874739272751</c:v>
                </c:pt>
                <c:pt idx="18">
                  <c:v>0.11940065487578974</c:v>
                </c:pt>
                <c:pt idx="19">
                  <c:v>0.12537068761957929</c:v>
                </c:pt>
                <c:pt idx="20">
                  <c:v>0.11940065487578974</c:v>
                </c:pt>
                <c:pt idx="21">
                  <c:v>0.10311874739272751</c:v>
                </c:pt>
                <c:pt idx="22">
                  <c:v>8.07016283943085E-2</c:v>
                </c:pt>
                <c:pt idx="23">
                  <c:v>5.7163653445968521E-2</c:v>
                </c:pt>
                <c:pt idx="24">
                  <c:v>3.6584738205419853E-2</c:v>
                </c:pt>
                <c:pt idx="25">
                  <c:v>2.1106579733896052E-2</c:v>
                </c:pt>
                <c:pt idx="26">
                  <c:v>1.094415245461278E-2</c:v>
                </c:pt>
                <c:pt idx="27">
                  <c:v>5.0812136396416489E-3</c:v>
                </c:pt>
                <c:pt idx="28">
                  <c:v>2.1025711612310239E-3</c:v>
                </c:pt>
                <c:pt idx="29">
                  <c:v>7.7094275911804278E-4</c:v>
                </c:pt>
                <c:pt idx="30">
                  <c:v>2.4869121261872286E-4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BDB1-4386-B563-951F7EDEB4F6}"/>
            </c:ext>
          </c:extLst>
        </c:ser>
        <c:ser>
          <c:idx val="1"/>
          <c:order val="1"/>
          <c:spPr>
            <a:ln w="19050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xVal>
            <c:numRef>
              <c:f>Distributions!$B$53:$B$90</c:f>
              <c:numCache>
                <c:formatCode>0</c:formatCode>
                <c:ptCount val="3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</c:numCache>
            </c:numRef>
          </c:xVal>
          <c:yVal>
            <c:numRef>
              <c:f>Distributions!$D$53:$D$90</c:f>
              <c:numCache>
                <c:formatCode>0.00</c:formatCode>
                <c:ptCount val="38"/>
                <c:pt idx="1">
                  <c:v>9.1214237635880305E-5</c:v>
                </c:pt>
                <c:pt idx="2">
                  <c:v>4.9516300430906489E-4</c:v>
                </c:pt>
                <c:pt idx="3">
                  <c:v>1.9629676242252244E-3</c:v>
                </c:pt>
                <c:pt idx="4">
                  <c:v>6.0571572404664025E-3</c:v>
                </c:pt>
                <c:pt idx="5">
                  <c:v>1.5142893101165985E-2</c:v>
                </c:pt>
                <c:pt idx="6">
                  <c:v>3.152194074120266E-2</c:v>
                </c:pt>
                <c:pt idx="7">
                  <c:v>5.5726288096054712E-2</c:v>
                </c:pt>
                <c:pt idx="8">
                  <c:v>8.4916248527321478E-2</c:v>
                </c:pt>
                <c:pt idx="9">
                  <c:v>0.11281730161486998</c:v>
                </c:pt>
                <c:pt idx="10">
                  <c:v>0.131864378510887</c:v>
                </c:pt>
                <c:pt idx="11">
                  <c:v>0.13657382060056153</c:v>
                </c:pt>
                <c:pt idx="12">
                  <c:v>0.12606814209282602</c:v>
                </c:pt>
                <c:pt idx="13">
                  <c:v>0.10419917866856032</c:v>
                </c:pt>
                <c:pt idx="14">
                  <c:v>7.7405104153787624E-2</c:v>
                </c:pt>
                <c:pt idx="15">
                  <c:v>5.1833775102982801E-2</c:v>
                </c:pt>
                <c:pt idx="16">
                  <c:v>3.1361611827014801E-2</c:v>
                </c:pt>
                <c:pt idx="17">
                  <c:v>1.7174216000508107E-2</c:v>
                </c:pt>
                <c:pt idx="18">
                  <c:v>8.5225432784476283E-3</c:v>
                </c:pt>
                <c:pt idx="19">
                  <c:v>3.8351444753014362E-3</c:v>
                </c:pt>
                <c:pt idx="20">
                  <c:v>1.5653650919597718E-3</c:v>
                </c:pt>
                <c:pt idx="21">
                  <c:v>5.7938837819290171E-4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BDB1-4386-B563-951F7EDEB4F6}"/>
            </c:ext>
          </c:extLst>
        </c:ser>
        <c:ser>
          <c:idx val="2"/>
          <c:order val="2"/>
          <c:spPr>
            <a:ln w="19050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xVal>
            <c:numRef>
              <c:f>Distributions!$B$53:$B$90</c:f>
              <c:numCache>
                <c:formatCode>0</c:formatCode>
                <c:ptCount val="3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</c:numCache>
            </c:numRef>
          </c:xVal>
          <c:yVal>
            <c:numRef>
              <c:f>Distributions!$E$53:$E$90</c:f>
              <c:numCache>
                <c:formatCode>0.00</c:formatCode>
                <c:ptCount val="38"/>
                <c:pt idx="0">
                  <c:v>1.3292279957849162E-3</c:v>
                </c:pt>
                <c:pt idx="1">
                  <c:v>6.479986479451463E-3</c:v>
                </c:pt>
                <c:pt idx="2">
                  <c:v>2.0519957184929643E-2</c:v>
                </c:pt>
                <c:pt idx="3">
                  <c:v>4.7452400990149801E-2</c:v>
                </c:pt>
                <c:pt idx="4">
                  <c:v>8.5414321782269667E-2</c:v>
                </c:pt>
                <c:pt idx="5">
                  <c:v>0.12456255259914313</c:v>
                </c:pt>
                <c:pt idx="6">
                  <c:v>0.15125452815610244</c:v>
                </c:pt>
                <c:pt idx="7">
                  <c:v>0.15598123216098067</c:v>
                </c:pt>
                <c:pt idx="8">
                  <c:v>0.1386499841430939</c:v>
                </c:pt>
                <c:pt idx="9">
                  <c:v>0.10745373771089774</c:v>
                </c:pt>
                <c:pt idx="10">
                  <c:v>7.32639120756121E-2</c:v>
                </c:pt>
                <c:pt idx="11">
                  <c:v>4.4263613545682354E-2</c:v>
                </c:pt>
                <c:pt idx="12">
                  <c:v>2.3834253447675074E-2</c:v>
                </c:pt>
                <c:pt idx="13">
                  <c:v>1.1491515055129058E-2</c:v>
                </c:pt>
                <c:pt idx="14">
                  <c:v>4.9796565238892695E-3</c:v>
                </c:pt>
                <c:pt idx="15">
                  <c:v>1.9451783296442428E-3</c:v>
                </c:pt>
                <c:pt idx="16">
                  <c:v>6.8653352810973142E-4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BDB1-4386-B563-951F7EDEB4F6}"/>
            </c:ext>
          </c:extLst>
        </c:ser>
        <c:ser>
          <c:idx val="3"/>
          <c:order val="3"/>
          <c:spPr>
            <a:ln w="1905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xVal>
            <c:numRef>
              <c:f>Distributions!$B$53:$B$90</c:f>
              <c:numCache>
                <c:formatCode>0</c:formatCode>
                <c:ptCount val="3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</c:numCache>
            </c:numRef>
          </c:xVal>
          <c:yVal>
            <c:numRef>
              <c:f>Distributions!$F$53:$F$90</c:f>
              <c:numCache>
                <c:formatCode>0.00</c:formatCode>
                <c:ptCount val="38"/>
                <c:pt idx="13">
                  <c:v>8.3297427293515961E-4</c:v>
                </c:pt>
                <c:pt idx="14">
                  <c:v>1.9991382550443907E-3</c:v>
                </c:pt>
                <c:pt idx="15">
                  <c:v>4.3731149329095925E-3</c:v>
                </c:pt>
                <c:pt idx="16">
                  <c:v>8.7462298658191901E-3</c:v>
                </c:pt>
                <c:pt idx="17">
                  <c:v>1.6034754754001845E-2</c:v>
                </c:pt>
                <c:pt idx="18">
                  <c:v>2.7005902743582024E-2</c:v>
                </c:pt>
                <c:pt idx="19">
                  <c:v>4.1859149252552186E-2</c:v>
                </c:pt>
                <c:pt idx="20">
                  <c:v>5.9798784646503088E-2</c:v>
                </c:pt>
                <c:pt idx="21">
                  <c:v>7.882567067039048E-2</c:v>
                </c:pt>
                <c:pt idx="22">
                  <c:v>9.5961686033518831E-2</c:v>
                </c:pt>
                <c:pt idx="23">
                  <c:v>0.10795689678770866</c:v>
                </c:pt>
                <c:pt idx="24">
                  <c:v>0.11227517265921706</c:v>
                </c:pt>
                <c:pt idx="25">
                  <c:v>0.10795689678770866</c:v>
                </c:pt>
                <c:pt idx="26">
                  <c:v>9.5961686033518831E-2</c:v>
                </c:pt>
                <c:pt idx="27">
                  <c:v>7.882567067039048E-2</c:v>
                </c:pt>
                <c:pt idx="28">
                  <c:v>5.9798784646503088E-2</c:v>
                </c:pt>
                <c:pt idx="29">
                  <c:v>4.1859149252552186E-2</c:v>
                </c:pt>
                <c:pt idx="30">
                  <c:v>2.7005902743582024E-2</c:v>
                </c:pt>
                <c:pt idx="31">
                  <c:v>1.6034754754001845E-2</c:v>
                </c:pt>
                <c:pt idx="32">
                  <c:v>8.7462298658191901E-3</c:v>
                </c:pt>
                <c:pt idx="33">
                  <c:v>4.3731149329095925E-3</c:v>
                </c:pt>
                <c:pt idx="34">
                  <c:v>1.9991382550443907E-3</c:v>
                </c:pt>
                <c:pt idx="35">
                  <c:v>8.3297427293516015E-4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BDB1-4386-B563-951F7EDEB4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12019808"/>
        <c:axId val="1"/>
      </c:scatterChart>
      <c:valAx>
        <c:axId val="4120198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412019808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4"/>
          <c:order val="0"/>
          <c:spPr>
            <a:ln>
              <a:solidFill>
                <a:srgbClr val="002060"/>
              </a:solidFill>
            </a:ln>
          </c:spPr>
          <c:marker>
            <c:symbol val="none"/>
          </c:marker>
          <c:xVal>
            <c:numRef>
              <c:f>Distributions!$B$94:$B$201</c:f>
              <c:numCache>
                <c:formatCode>0.000</c:formatCode>
                <c:ptCount val="108"/>
                <c:pt idx="0">
                  <c:v>-4</c:v>
                </c:pt>
                <c:pt idx="1">
                  <c:v>-3.9</c:v>
                </c:pt>
                <c:pt idx="2">
                  <c:v>-3.8</c:v>
                </c:pt>
                <c:pt idx="3">
                  <c:v>-3.6999999999999997</c:v>
                </c:pt>
                <c:pt idx="4">
                  <c:v>-3.5999999999999996</c:v>
                </c:pt>
                <c:pt idx="5">
                  <c:v>-3.4999999999999996</c:v>
                </c:pt>
                <c:pt idx="6">
                  <c:v>-3.3999999999999995</c:v>
                </c:pt>
                <c:pt idx="7">
                  <c:v>-3.2999999999999994</c:v>
                </c:pt>
                <c:pt idx="8">
                  <c:v>-3.1999999999999993</c:v>
                </c:pt>
                <c:pt idx="9">
                  <c:v>-3.0999999999999992</c:v>
                </c:pt>
                <c:pt idx="10">
                  <c:v>-2.9999999999999991</c:v>
                </c:pt>
                <c:pt idx="11">
                  <c:v>-2.899999999999999</c:v>
                </c:pt>
                <c:pt idx="12">
                  <c:v>-2.7999999999999989</c:v>
                </c:pt>
                <c:pt idx="13">
                  <c:v>-2.6999999999999988</c:v>
                </c:pt>
                <c:pt idx="14">
                  <c:v>-2.5999999999999988</c:v>
                </c:pt>
                <c:pt idx="15">
                  <c:v>-2.4999999999999987</c:v>
                </c:pt>
                <c:pt idx="16">
                  <c:v>-2.3999999999999986</c:v>
                </c:pt>
                <c:pt idx="17">
                  <c:v>-2.2999999999999985</c:v>
                </c:pt>
                <c:pt idx="18">
                  <c:v>-2.1999999999999984</c:v>
                </c:pt>
                <c:pt idx="19">
                  <c:v>-2.0999999999999983</c:v>
                </c:pt>
                <c:pt idx="20">
                  <c:v>-1.9999999999999982</c:v>
                </c:pt>
                <c:pt idx="21">
                  <c:v>-1.8999999999999981</c:v>
                </c:pt>
                <c:pt idx="22">
                  <c:v>-1.799999999999998</c:v>
                </c:pt>
                <c:pt idx="23">
                  <c:v>-1.699999999999998</c:v>
                </c:pt>
                <c:pt idx="24">
                  <c:v>-1.5999999999999979</c:v>
                </c:pt>
                <c:pt idx="25">
                  <c:v>-1.4999999999999978</c:v>
                </c:pt>
                <c:pt idx="26">
                  <c:v>-1.3999999999999977</c:v>
                </c:pt>
                <c:pt idx="27">
                  <c:v>-1.2999999999999976</c:v>
                </c:pt>
                <c:pt idx="28">
                  <c:v>-1.1999999999999975</c:v>
                </c:pt>
                <c:pt idx="29">
                  <c:v>-1.0999999999999974</c:v>
                </c:pt>
                <c:pt idx="30">
                  <c:v>-0.99999999999999745</c:v>
                </c:pt>
                <c:pt idx="31">
                  <c:v>-0.89999999999999747</c:v>
                </c:pt>
                <c:pt idx="32">
                  <c:v>-0.79999999999999749</c:v>
                </c:pt>
                <c:pt idx="33">
                  <c:v>-0.69999999999999751</c:v>
                </c:pt>
                <c:pt idx="34">
                  <c:v>-0.59999999999999754</c:v>
                </c:pt>
                <c:pt idx="35">
                  <c:v>-0.49999999999999756</c:v>
                </c:pt>
                <c:pt idx="36">
                  <c:v>-0.39999999999999758</c:v>
                </c:pt>
                <c:pt idx="37">
                  <c:v>-0.2999999999999976</c:v>
                </c:pt>
                <c:pt idx="38">
                  <c:v>-0.1999999999999976</c:v>
                </c:pt>
                <c:pt idx="39">
                  <c:v>-9.9999999999997591E-2</c:v>
                </c:pt>
                <c:pt idx="40">
                  <c:v>2.4147350785597155E-15</c:v>
                </c:pt>
                <c:pt idx="41">
                  <c:v>0.10000000000000242</c:v>
                </c:pt>
                <c:pt idx="42">
                  <c:v>0.20000000000000243</c:v>
                </c:pt>
                <c:pt idx="43">
                  <c:v>0.30000000000000243</c:v>
                </c:pt>
                <c:pt idx="44">
                  <c:v>0.40000000000000246</c:v>
                </c:pt>
                <c:pt idx="45">
                  <c:v>0.50000000000000244</c:v>
                </c:pt>
                <c:pt idx="46">
                  <c:v>0.60000000000000242</c:v>
                </c:pt>
                <c:pt idx="47">
                  <c:v>0.7000000000000024</c:v>
                </c:pt>
                <c:pt idx="48">
                  <c:v>0.80000000000000238</c:v>
                </c:pt>
                <c:pt idx="49">
                  <c:v>0.90000000000000235</c:v>
                </c:pt>
                <c:pt idx="50">
                  <c:v>1.0000000000000024</c:v>
                </c:pt>
                <c:pt idx="51">
                  <c:v>1.1000000000000025</c:v>
                </c:pt>
                <c:pt idx="52">
                  <c:v>1.2000000000000026</c:v>
                </c:pt>
                <c:pt idx="53">
                  <c:v>1.3000000000000027</c:v>
                </c:pt>
                <c:pt idx="54">
                  <c:v>1.4000000000000028</c:v>
                </c:pt>
                <c:pt idx="55">
                  <c:v>1.5000000000000029</c:v>
                </c:pt>
                <c:pt idx="56">
                  <c:v>1.600000000000003</c:v>
                </c:pt>
                <c:pt idx="57">
                  <c:v>1.7000000000000031</c:v>
                </c:pt>
                <c:pt idx="58">
                  <c:v>1.8000000000000032</c:v>
                </c:pt>
                <c:pt idx="59">
                  <c:v>1.9000000000000032</c:v>
                </c:pt>
                <c:pt idx="60">
                  <c:v>2.0000000000000031</c:v>
                </c:pt>
                <c:pt idx="61">
                  <c:v>2.1000000000000032</c:v>
                </c:pt>
                <c:pt idx="62">
                  <c:v>2.2000000000000033</c:v>
                </c:pt>
                <c:pt idx="63">
                  <c:v>2.3000000000000034</c:v>
                </c:pt>
                <c:pt idx="64">
                  <c:v>2.4000000000000035</c:v>
                </c:pt>
                <c:pt idx="65">
                  <c:v>2.5000000000000036</c:v>
                </c:pt>
                <c:pt idx="66">
                  <c:v>2.6000000000000036</c:v>
                </c:pt>
                <c:pt idx="67">
                  <c:v>2.7000000000000037</c:v>
                </c:pt>
                <c:pt idx="68">
                  <c:v>2.8000000000000038</c:v>
                </c:pt>
                <c:pt idx="69">
                  <c:v>2.9000000000000039</c:v>
                </c:pt>
                <c:pt idx="70">
                  <c:v>3.000000000000004</c:v>
                </c:pt>
                <c:pt idx="71">
                  <c:v>3.1000000000000041</c:v>
                </c:pt>
                <c:pt idx="72">
                  <c:v>3.2000000000000042</c:v>
                </c:pt>
                <c:pt idx="73">
                  <c:v>3.3000000000000043</c:v>
                </c:pt>
                <c:pt idx="74">
                  <c:v>3.4000000000000044</c:v>
                </c:pt>
                <c:pt idx="75">
                  <c:v>3.5000000000000044</c:v>
                </c:pt>
                <c:pt idx="76">
                  <c:v>3.6000000000000045</c:v>
                </c:pt>
                <c:pt idx="77">
                  <c:v>3.7000000000000046</c:v>
                </c:pt>
                <c:pt idx="78">
                  <c:v>3.8000000000000047</c:v>
                </c:pt>
                <c:pt idx="79">
                  <c:v>3.9000000000000048</c:v>
                </c:pt>
              </c:numCache>
            </c:numRef>
          </c:xVal>
          <c:yVal>
            <c:numRef>
              <c:f>Distributions!$C$94:$C$201</c:f>
              <c:numCache>
                <c:formatCode>0.000</c:formatCode>
                <c:ptCount val="108"/>
                <c:pt idx="0">
                  <c:v>1.3383022576488537E-4</c:v>
                </c:pt>
                <c:pt idx="1">
                  <c:v>1.9865547139277272E-4</c:v>
                </c:pt>
                <c:pt idx="2">
                  <c:v>2.9194692579146027E-4</c:v>
                </c:pt>
                <c:pt idx="3">
                  <c:v>4.2478027055075219E-4</c:v>
                </c:pt>
                <c:pt idx="4">
                  <c:v>6.1190193011377298E-4</c:v>
                </c:pt>
                <c:pt idx="5">
                  <c:v>8.7268269504576167E-4</c:v>
                </c:pt>
                <c:pt idx="6">
                  <c:v>1.232219168473021E-3</c:v>
                </c:pt>
                <c:pt idx="7">
                  <c:v>1.7225689390536843E-3</c:v>
                </c:pt>
                <c:pt idx="8">
                  <c:v>2.3840882014648486E-3</c:v>
                </c:pt>
                <c:pt idx="9">
                  <c:v>3.2668190561999273E-3</c:v>
                </c:pt>
                <c:pt idx="10">
                  <c:v>4.4318484119380188E-3</c:v>
                </c:pt>
                <c:pt idx="11">
                  <c:v>5.9525324197758694E-3</c:v>
                </c:pt>
                <c:pt idx="12">
                  <c:v>7.9154515829799894E-3</c:v>
                </c:pt>
                <c:pt idx="13">
                  <c:v>1.0420934814422628E-2</c:v>
                </c:pt>
                <c:pt idx="14">
                  <c:v>1.3582969233685661E-2</c:v>
                </c:pt>
                <c:pt idx="15">
                  <c:v>1.7528300493568599E-2</c:v>
                </c:pt>
                <c:pt idx="16">
                  <c:v>2.2394530294842969E-2</c:v>
                </c:pt>
                <c:pt idx="17">
                  <c:v>2.8327037741601276E-2</c:v>
                </c:pt>
                <c:pt idx="18">
                  <c:v>3.547459284623157E-2</c:v>
                </c:pt>
                <c:pt idx="19">
                  <c:v>4.3983595980427351E-2</c:v>
                </c:pt>
                <c:pt idx="20">
                  <c:v>5.399096651318825E-2</c:v>
                </c:pt>
                <c:pt idx="21">
                  <c:v>6.5615814774676831E-2</c:v>
                </c:pt>
                <c:pt idx="22">
                  <c:v>7.8950158300894427E-2</c:v>
                </c:pt>
                <c:pt idx="23">
                  <c:v>9.4049077376887252E-2</c:v>
                </c:pt>
                <c:pt idx="24">
                  <c:v>0.11092083467945592</c:v>
                </c:pt>
                <c:pt idx="25">
                  <c:v>0.12951759566589216</c:v>
                </c:pt>
                <c:pt idx="26">
                  <c:v>0.14972746563574535</c:v>
                </c:pt>
                <c:pt idx="27">
                  <c:v>0.17136859204780791</c:v>
                </c:pt>
                <c:pt idx="28">
                  <c:v>0.19418605498321354</c:v>
                </c:pt>
                <c:pt idx="29">
                  <c:v>0.21785217703255116</c:v>
                </c:pt>
                <c:pt idx="30">
                  <c:v>0.24197072451914398</c:v>
                </c:pt>
                <c:pt idx="31">
                  <c:v>0.26608524989875543</c:v>
                </c:pt>
                <c:pt idx="32">
                  <c:v>0.28969155276148334</c:v>
                </c:pt>
                <c:pt idx="33">
                  <c:v>0.31225393336676183</c:v>
                </c:pt>
                <c:pt idx="34">
                  <c:v>0.33322460289180011</c:v>
                </c:pt>
                <c:pt idx="35">
                  <c:v>0.35206532676429991</c:v>
                </c:pt>
                <c:pt idx="36">
                  <c:v>0.36827014030332367</c:v>
                </c:pt>
                <c:pt idx="37">
                  <c:v>0.38138781546052442</c:v>
                </c:pt>
                <c:pt idx="38">
                  <c:v>0.3910426939754561</c:v>
                </c:pt>
                <c:pt idx="39">
                  <c:v>0.39695254747701186</c:v>
                </c:pt>
                <c:pt idx="40">
                  <c:v>0.3989422804014327</c:v>
                </c:pt>
                <c:pt idx="41">
                  <c:v>0.3969525474770117</c:v>
                </c:pt>
                <c:pt idx="42">
                  <c:v>0.39104269397545571</c:v>
                </c:pt>
                <c:pt idx="43">
                  <c:v>0.3813878154605238</c:v>
                </c:pt>
                <c:pt idx="44">
                  <c:v>0.36827014030332295</c:v>
                </c:pt>
                <c:pt idx="45">
                  <c:v>0.35206532676429908</c:v>
                </c:pt>
                <c:pt idx="46">
                  <c:v>0.33322460289179917</c:v>
                </c:pt>
                <c:pt idx="47">
                  <c:v>0.31225393336676072</c:v>
                </c:pt>
                <c:pt idx="48">
                  <c:v>0.28969155276148217</c:v>
                </c:pt>
                <c:pt idx="49">
                  <c:v>0.26608524989875426</c:v>
                </c:pt>
                <c:pt idx="50">
                  <c:v>0.24197072451914278</c:v>
                </c:pt>
                <c:pt idx="51">
                  <c:v>0.21785217703254997</c:v>
                </c:pt>
                <c:pt idx="52">
                  <c:v>0.19418605498321231</c:v>
                </c:pt>
                <c:pt idx="53">
                  <c:v>0.17136859204780677</c:v>
                </c:pt>
                <c:pt idx="54">
                  <c:v>0.14972746563574427</c:v>
                </c:pt>
                <c:pt idx="55">
                  <c:v>0.12951759566589116</c:v>
                </c:pt>
                <c:pt idx="56">
                  <c:v>0.11092083467945503</c:v>
                </c:pt>
                <c:pt idx="57">
                  <c:v>9.4049077376886434E-2</c:v>
                </c:pt>
                <c:pt idx="58">
                  <c:v>7.8950158300893719E-2</c:v>
                </c:pt>
                <c:pt idx="59">
                  <c:v>6.5615814774676193E-2</c:v>
                </c:pt>
                <c:pt idx="60">
                  <c:v>5.3990966513187716E-2</c:v>
                </c:pt>
                <c:pt idx="61">
                  <c:v>4.39835959804269E-2</c:v>
                </c:pt>
                <c:pt idx="62">
                  <c:v>3.5474592846231189E-2</c:v>
                </c:pt>
                <c:pt idx="63">
                  <c:v>2.8327037741600961E-2</c:v>
                </c:pt>
                <c:pt idx="64">
                  <c:v>2.2394530294842712E-2</c:v>
                </c:pt>
                <c:pt idx="65">
                  <c:v>1.7528300493568381E-2</c:v>
                </c:pt>
                <c:pt idx="66">
                  <c:v>1.3582969233685486E-2</c:v>
                </c:pt>
                <c:pt idx="67">
                  <c:v>1.0420934814422488E-2</c:v>
                </c:pt>
                <c:pt idx="68">
                  <c:v>7.9154515829798801E-3</c:v>
                </c:pt>
                <c:pt idx="69">
                  <c:v>5.9525324197757853E-3</c:v>
                </c:pt>
                <c:pt idx="70">
                  <c:v>4.4318484119379529E-3</c:v>
                </c:pt>
                <c:pt idx="71">
                  <c:v>3.2668190561998783E-3</c:v>
                </c:pt>
                <c:pt idx="72">
                  <c:v>2.3840882014648105E-3</c:v>
                </c:pt>
                <c:pt idx="73">
                  <c:v>1.7225689390536552E-3</c:v>
                </c:pt>
                <c:pt idx="74">
                  <c:v>1.2322191684730013E-3</c:v>
                </c:pt>
                <c:pt idx="75">
                  <c:v>8.7268269504574606E-4</c:v>
                </c:pt>
                <c:pt idx="76">
                  <c:v>6.1190193011376214E-4</c:v>
                </c:pt>
                <c:pt idx="77">
                  <c:v>4.2478027055074428E-4</c:v>
                </c:pt>
                <c:pt idx="78">
                  <c:v>2.9194692579145507E-4</c:v>
                </c:pt>
                <c:pt idx="79">
                  <c:v>1.9865547139276881E-4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251D-4789-AB10-A27CF18AC90B}"/>
            </c:ext>
          </c:extLst>
        </c:ser>
        <c:ser>
          <c:idx val="5"/>
          <c:order val="1"/>
          <c:spPr>
            <a:ln>
              <a:solidFill>
                <a:srgbClr val="002060"/>
              </a:solidFill>
            </a:ln>
          </c:spPr>
          <c:marker>
            <c:symbol val="none"/>
          </c:marker>
          <c:xVal>
            <c:numRef>
              <c:f>Distributions!$B$94:$B$201</c:f>
              <c:numCache>
                <c:formatCode>0.000</c:formatCode>
                <c:ptCount val="108"/>
                <c:pt idx="0">
                  <c:v>-4</c:v>
                </c:pt>
                <c:pt idx="1">
                  <c:v>-3.9</c:v>
                </c:pt>
                <c:pt idx="2">
                  <c:v>-3.8</c:v>
                </c:pt>
                <c:pt idx="3">
                  <c:v>-3.6999999999999997</c:v>
                </c:pt>
                <c:pt idx="4">
                  <c:v>-3.5999999999999996</c:v>
                </c:pt>
                <c:pt idx="5">
                  <c:v>-3.4999999999999996</c:v>
                </c:pt>
                <c:pt idx="6">
                  <c:v>-3.3999999999999995</c:v>
                </c:pt>
                <c:pt idx="7">
                  <c:v>-3.2999999999999994</c:v>
                </c:pt>
                <c:pt idx="8">
                  <c:v>-3.1999999999999993</c:v>
                </c:pt>
                <c:pt idx="9">
                  <c:v>-3.0999999999999992</c:v>
                </c:pt>
                <c:pt idx="10">
                  <c:v>-2.9999999999999991</c:v>
                </c:pt>
                <c:pt idx="11">
                  <c:v>-2.899999999999999</c:v>
                </c:pt>
                <c:pt idx="12">
                  <c:v>-2.7999999999999989</c:v>
                </c:pt>
                <c:pt idx="13">
                  <c:v>-2.6999999999999988</c:v>
                </c:pt>
                <c:pt idx="14">
                  <c:v>-2.5999999999999988</c:v>
                </c:pt>
                <c:pt idx="15">
                  <c:v>-2.4999999999999987</c:v>
                </c:pt>
                <c:pt idx="16">
                  <c:v>-2.3999999999999986</c:v>
                </c:pt>
                <c:pt idx="17">
                  <c:v>-2.2999999999999985</c:v>
                </c:pt>
                <c:pt idx="18">
                  <c:v>-2.1999999999999984</c:v>
                </c:pt>
                <c:pt idx="19">
                  <c:v>-2.0999999999999983</c:v>
                </c:pt>
                <c:pt idx="20">
                  <c:v>-1.9999999999999982</c:v>
                </c:pt>
                <c:pt idx="21">
                  <c:v>-1.8999999999999981</c:v>
                </c:pt>
                <c:pt idx="22">
                  <c:v>-1.799999999999998</c:v>
                </c:pt>
                <c:pt idx="23">
                  <c:v>-1.699999999999998</c:v>
                </c:pt>
                <c:pt idx="24">
                  <c:v>-1.5999999999999979</c:v>
                </c:pt>
                <c:pt idx="25">
                  <c:v>-1.4999999999999978</c:v>
                </c:pt>
                <c:pt idx="26">
                  <c:v>-1.3999999999999977</c:v>
                </c:pt>
                <c:pt idx="27">
                  <c:v>-1.2999999999999976</c:v>
                </c:pt>
                <c:pt idx="28">
                  <c:v>-1.1999999999999975</c:v>
                </c:pt>
                <c:pt idx="29">
                  <c:v>-1.0999999999999974</c:v>
                </c:pt>
                <c:pt idx="30">
                  <c:v>-0.99999999999999745</c:v>
                </c:pt>
                <c:pt idx="31">
                  <c:v>-0.89999999999999747</c:v>
                </c:pt>
                <c:pt idx="32">
                  <c:v>-0.79999999999999749</c:v>
                </c:pt>
                <c:pt idx="33">
                  <c:v>-0.69999999999999751</c:v>
                </c:pt>
                <c:pt idx="34">
                  <c:v>-0.59999999999999754</c:v>
                </c:pt>
                <c:pt idx="35">
                  <c:v>-0.49999999999999756</c:v>
                </c:pt>
                <c:pt idx="36">
                  <c:v>-0.39999999999999758</c:v>
                </c:pt>
                <c:pt idx="37">
                  <c:v>-0.2999999999999976</c:v>
                </c:pt>
                <c:pt idx="38">
                  <c:v>-0.1999999999999976</c:v>
                </c:pt>
                <c:pt idx="39">
                  <c:v>-9.9999999999997591E-2</c:v>
                </c:pt>
                <c:pt idx="40">
                  <c:v>2.4147350785597155E-15</c:v>
                </c:pt>
                <c:pt idx="41">
                  <c:v>0.10000000000000242</c:v>
                </c:pt>
                <c:pt idx="42">
                  <c:v>0.20000000000000243</c:v>
                </c:pt>
                <c:pt idx="43">
                  <c:v>0.30000000000000243</c:v>
                </c:pt>
                <c:pt idx="44">
                  <c:v>0.40000000000000246</c:v>
                </c:pt>
                <c:pt idx="45">
                  <c:v>0.50000000000000244</c:v>
                </c:pt>
                <c:pt idx="46">
                  <c:v>0.60000000000000242</c:v>
                </c:pt>
                <c:pt idx="47">
                  <c:v>0.7000000000000024</c:v>
                </c:pt>
                <c:pt idx="48">
                  <c:v>0.80000000000000238</c:v>
                </c:pt>
                <c:pt idx="49">
                  <c:v>0.90000000000000235</c:v>
                </c:pt>
                <c:pt idx="50">
                  <c:v>1.0000000000000024</c:v>
                </c:pt>
                <c:pt idx="51">
                  <c:v>1.1000000000000025</c:v>
                </c:pt>
                <c:pt idx="52">
                  <c:v>1.2000000000000026</c:v>
                </c:pt>
                <c:pt idx="53">
                  <c:v>1.3000000000000027</c:v>
                </c:pt>
                <c:pt idx="54">
                  <c:v>1.4000000000000028</c:v>
                </c:pt>
                <c:pt idx="55">
                  <c:v>1.5000000000000029</c:v>
                </c:pt>
                <c:pt idx="56">
                  <c:v>1.600000000000003</c:v>
                </c:pt>
                <c:pt idx="57">
                  <c:v>1.7000000000000031</c:v>
                </c:pt>
                <c:pt idx="58">
                  <c:v>1.8000000000000032</c:v>
                </c:pt>
                <c:pt idx="59">
                  <c:v>1.9000000000000032</c:v>
                </c:pt>
                <c:pt idx="60">
                  <c:v>2.0000000000000031</c:v>
                </c:pt>
                <c:pt idx="61">
                  <c:v>2.1000000000000032</c:v>
                </c:pt>
                <c:pt idx="62">
                  <c:v>2.2000000000000033</c:v>
                </c:pt>
                <c:pt idx="63">
                  <c:v>2.3000000000000034</c:v>
                </c:pt>
                <c:pt idx="64">
                  <c:v>2.4000000000000035</c:v>
                </c:pt>
                <c:pt idx="65">
                  <c:v>2.5000000000000036</c:v>
                </c:pt>
                <c:pt idx="66">
                  <c:v>2.6000000000000036</c:v>
                </c:pt>
                <c:pt idx="67">
                  <c:v>2.7000000000000037</c:v>
                </c:pt>
                <c:pt idx="68">
                  <c:v>2.8000000000000038</c:v>
                </c:pt>
                <c:pt idx="69">
                  <c:v>2.9000000000000039</c:v>
                </c:pt>
                <c:pt idx="70">
                  <c:v>3.000000000000004</c:v>
                </c:pt>
                <c:pt idx="71">
                  <c:v>3.1000000000000041</c:v>
                </c:pt>
                <c:pt idx="72">
                  <c:v>3.2000000000000042</c:v>
                </c:pt>
                <c:pt idx="73">
                  <c:v>3.3000000000000043</c:v>
                </c:pt>
                <c:pt idx="74">
                  <c:v>3.4000000000000044</c:v>
                </c:pt>
                <c:pt idx="75">
                  <c:v>3.5000000000000044</c:v>
                </c:pt>
                <c:pt idx="76">
                  <c:v>3.6000000000000045</c:v>
                </c:pt>
                <c:pt idx="77">
                  <c:v>3.7000000000000046</c:v>
                </c:pt>
                <c:pt idx="78">
                  <c:v>3.8000000000000047</c:v>
                </c:pt>
                <c:pt idx="79">
                  <c:v>3.9000000000000048</c:v>
                </c:pt>
              </c:numCache>
            </c:numRef>
          </c:xVal>
          <c:yVal>
            <c:numRef>
              <c:f>Distributions!$D$94:$D$201</c:f>
              <c:numCache>
                <c:formatCode>0.000</c:formatCode>
                <c:ptCount val="108"/>
                <c:pt idx="0">
                  <c:v>1.0104542167073785E-14</c:v>
                </c:pt>
                <c:pt idx="1">
                  <c:v>4.9057105713928647E-14</c:v>
                </c:pt>
                <c:pt idx="2">
                  <c:v>2.2883129803602739E-13</c:v>
                </c:pt>
                <c:pt idx="3">
                  <c:v>1.0255507273593399E-12</c:v>
                </c:pt>
                <c:pt idx="4">
                  <c:v>4.41597992627431E-12</c:v>
                </c:pt>
                <c:pt idx="5">
                  <c:v>1.8269440816729317E-11</c:v>
                </c:pt>
                <c:pt idx="6">
                  <c:v>7.2619230035836267E-11</c:v>
                </c:pt>
                <c:pt idx="7">
                  <c:v>2.7733599883306541E-10</c:v>
                </c:pt>
                <c:pt idx="8">
                  <c:v>1.017628056329022E-9</c:v>
                </c:pt>
                <c:pt idx="9">
                  <c:v>3.5875678159281973E-9</c:v>
                </c:pt>
                <c:pt idx="10">
                  <c:v>1.2151765699646701E-8</c:v>
                </c:pt>
                <c:pt idx="11">
                  <c:v>3.9546392812489761E-8</c:v>
                </c:pt>
                <c:pt idx="12">
                  <c:v>1.2365241000331844E-7</c:v>
                </c:pt>
                <c:pt idx="13">
                  <c:v>3.7147236891106323E-7</c:v>
                </c:pt>
                <c:pt idx="14">
                  <c:v>1.0722070689395379E-6</c:v>
                </c:pt>
                <c:pt idx="15">
                  <c:v>2.9734390294686377E-6</c:v>
                </c:pt>
                <c:pt idx="16">
                  <c:v>7.9225981820642489E-6</c:v>
                </c:pt>
                <c:pt idx="17">
                  <c:v>2.0281704130973771E-5</c:v>
                </c:pt>
                <c:pt idx="18">
                  <c:v>4.988494258010787E-5</c:v>
                </c:pt>
                <c:pt idx="19">
                  <c:v>1.1788613551308139E-4</c:v>
                </c:pt>
                <c:pt idx="20">
                  <c:v>2.6766045152977453E-4</c:v>
                </c:pt>
                <c:pt idx="21">
                  <c:v>5.8389385158292889E-4</c:v>
                </c:pt>
                <c:pt idx="22">
                  <c:v>1.2238038602275614E-3</c:v>
                </c:pt>
                <c:pt idx="23">
                  <c:v>2.4644383369460728E-3</c:v>
                </c:pt>
                <c:pt idx="24">
                  <c:v>4.7681764029297484E-3</c:v>
                </c:pt>
                <c:pt idx="25">
                  <c:v>8.863696823876133E-3</c:v>
                </c:pt>
                <c:pt idx="26">
                  <c:v>1.5830903165960131E-2</c:v>
                </c:pt>
                <c:pt idx="27">
                  <c:v>2.7165938467371576E-2</c:v>
                </c:pt>
                <c:pt idx="28">
                  <c:v>4.4789060589686333E-2</c:v>
                </c:pt>
                <c:pt idx="29">
                  <c:v>7.0949185692463668E-2</c:v>
                </c:pt>
                <c:pt idx="30">
                  <c:v>0.10798193302637721</c:v>
                </c:pt>
                <c:pt idx="31">
                  <c:v>0.1579003166017898</c:v>
                </c:pt>
                <c:pt idx="32">
                  <c:v>0.22184166935891292</c:v>
                </c:pt>
                <c:pt idx="33">
                  <c:v>0.29945493127149181</c:v>
                </c:pt>
                <c:pt idx="34">
                  <c:v>0.38837210996642818</c:v>
                </c:pt>
                <c:pt idx="35">
                  <c:v>0.48394144903828912</c:v>
                </c:pt>
                <c:pt idx="36">
                  <c:v>0.57938310552296779</c:v>
                </c:pt>
                <c:pt idx="37">
                  <c:v>0.66644920578360123</c:v>
                </c:pt>
                <c:pt idx="38">
                  <c:v>0.73654028060664811</c:v>
                </c:pt>
                <c:pt idx="39">
                  <c:v>0.78208538795091254</c:v>
                </c:pt>
                <c:pt idx="40">
                  <c:v>0.79788456080286541</c:v>
                </c:pt>
                <c:pt idx="41">
                  <c:v>0.78208538795091109</c:v>
                </c:pt>
                <c:pt idx="42">
                  <c:v>0.73654028060664523</c:v>
                </c:pt>
                <c:pt idx="43">
                  <c:v>0.66644920578359734</c:v>
                </c:pt>
                <c:pt idx="44">
                  <c:v>0.57938310552296324</c:v>
                </c:pt>
                <c:pt idx="45">
                  <c:v>0.48394144903828434</c:v>
                </c:pt>
                <c:pt idx="46">
                  <c:v>0.38837210996642363</c:v>
                </c:pt>
                <c:pt idx="47">
                  <c:v>0.2994549312714877</c:v>
                </c:pt>
                <c:pt idx="48">
                  <c:v>0.22184166935890945</c:v>
                </c:pt>
                <c:pt idx="49">
                  <c:v>0.15790031660178697</c:v>
                </c:pt>
                <c:pt idx="50">
                  <c:v>0.10798193302637506</c:v>
                </c:pt>
                <c:pt idx="51">
                  <c:v>7.0949185692462099E-2</c:v>
                </c:pt>
                <c:pt idx="52">
                  <c:v>4.4789060589685223E-2</c:v>
                </c:pt>
                <c:pt idx="53">
                  <c:v>2.7165938467370851E-2</c:v>
                </c:pt>
                <c:pt idx="54">
                  <c:v>1.583090316595968E-2</c:v>
                </c:pt>
                <c:pt idx="55">
                  <c:v>8.8636968238758572E-3</c:v>
                </c:pt>
                <c:pt idx="56">
                  <c:v>4.7681764029295966E-3</c:v>
                </c:pt>
                <c:pt idx="57">
                  <c:v>2.464438336945987E-3</c:v>
                </c:pt>
                <c:pt idx="58">
                  <c:v>1.2238038602275167E-3</c:v>
                </c:pt>
                <c:pt idx="59">
                  <c:v>5.8389385158290601E-4</c:v>
                </c:pt>
                <c:pt idx="60">
                  <c:v>2.6766045152976407E-4</c:v>
                </c:pt>
                <c:pt idx="61">
                  <c:v>1.1788613551307657E-4</c:v>
                </c:pt>
                <c:pt idx="62">
                  <c:v>4.9884942580105736E-5</c:v>
                </c:pt>
                <c:pt idx="63">
                  <c:v>2.028170413097287E-5</c:v>
                </c:pt>
                <c:pt idx="64">
                  <c:v>7.9225981820638829E-6</c:v>
                </c:pt>
                <c:pt idx="65">
                  <c:v>2.9734390294684903E-6</c:v>
                </c:pt>
                <c:pt idx="66">
                  <c:v>1.0722070689394829E-6</c:v>
                </c:pt>
                <c:pt idx="67">
                  <c:v>3.7147236891104343E-7</c:v>
                </c:pt>
                <c:pt idx="68">
                  <c:v>1.2365241000331164E-7</c:v>
                </c:pt>
                <c:pt idx="69">
                  <c:v>3.9546392812487517E-8</c:v>
                </c:pt>
                <c:pt idx="70">
                  <c:v>1.2151765699645968E-8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251D-4789-AB10-A27CF18AC90B}"/>
            </c:ext>
          </c:extLst>
        </c:ser>
        <c:ser>
          <c:idx val="6"/>
          <c:order val="2"/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Distributions!$B$94:$B$201</c:f>
              <c:numCache>
                <c:formatCode>0.000</c:formatCode>
                <c:ptCount val="108"/>
                <c:pt idx="0">
                  <c:v>-4</c:v>
                </c:pt>
                <c:pt idx="1">
                  <c:v>-3.9</c:v>
                </c:pt>
                <c:pt idx="2">
                  <c:v>-3.8</c:v>
                </c:pt>
                <c:pt idx="3">
                  <c:v>-3.6999999999999997</c:v>
                </c:pt>
                <c:pt idx="4">
                  <c:v>-3.5999999999999996</c:v>
                </c:pt>
                <c:pt idx="5">
                  <c:v>-3.4999999999999996</c:v>
                </c:pt>
                <c:pt idx="6">
                  <c:v>-3.3999999999999995</c:v>
                </c:pt>
                <c:pt idx="7">
                  <c:v>-3.2999999999999994</c:v>
                </c:pt>
                <c:pt idx="8">
                  <c:v>-3.1999999999999993</c:v>
                </c:pt>
                <c:pt idx="9">
                  <c:v>-3.0999999999999992</c:v>
                </c:pt>
                <c:pt idx="10">
                  <c:v>-2.9999999999999991</c:v>
                </c:pt>
                <c:pt idx="11">
                  <c:v>-2.899999999999999</c:v>
                </c:pt>
                <c:pt idx="12">
                  <c:v>-2.7999999999999989</c:v>
                </c:pt>
                <c:pt idx="13">
                  <c:v>-2.6999999999999988</c:v>
                </c:pt>
                <c:pt idx="14">
                  <c:v>-2.5999999999999988</c:v>
                </c:pt>
                <c:pt idx="15">
                  <c:v>-2.4999999999999987</c:v>
                </c:pt>
                <c:pt idx="16">
                  <c:v>-2.3999999999999986</c:v>
                </c:pt>
                <c:pt idx="17">
                  <c:v>-2.2999999999999985</c:v>
                </c:pt>
                <c:pt idx="18">
                  <c:v>-2.1999999999999984</c:v>
                </c:pt>
                <c:pt idx="19">
                  <c:v>-2.0999999999999983</c:v>
                </c:pt>
                <c:pt idx="20">
                  <c:v>-1.9999999999999982</c:v>
                </c:pt>
                <c:pt idx="21">
                  <c:v>-1.8999999999999981</c:v>
                </c:pt>
                <c:pt idx="22">
                  <c:v>-1.799999999999998</c:v>
                </c:pt>
                <c:pt idx="23">
                  <c:v>-1.699999999999998</c:v>
                </c:pt>
                <c:pt idx="24">
                  <c:v>-1.5999999999999979</c:v>
                </c:pt>
                <c:pt idx="25">
                  <c:v>-1.4999999999999978</c:v>
                </c:pt>
                <c:pt idx="26">
                  <c:v>-1.3999999999999977</c:v>
                </c:pt>
                <c:pt idx="27">
                  <c:v>-1.2999999999999976</c:v>
                </c:pt>
                <c:pt idx="28">
                  <c:v>-1.1999999999999975</c:v>
                </c:pt>
                <c:pt idx="29">
                  <c:v>-1.0999999999999974</c:v>
                </c:pt>
                <c:pt idx="30">
                  <c:v>-0.99999999999999745</c:v>
                </c:pt>
                <c:pt idx="31">
                  <c:v>-0.89999999999999747</c:v>
                </c:pt>
                <c:pt idx="32">
                  <c:v>-0.79999999999999749</c:v>
                </c:pt>
                <c:pt idx="33">
                  <c:v>-0.69999999999999751</c:v>
                </c:pt>
                <c:pt idx="34">
                  <c:v>-0.59999999999999754</c:v>
                </c:pt>
                <c:pt idx="35">
                  <c:v>-0.49999999999999756</c:v>
                </c:pt>
                <c:pt idx="36">
                  <c:v>-0.39999999999999758</c:v>
                </c:pt>
                <c:pt idx="37">
                  <c:v>-0.2999999999999976</c:v>
                </c:pt>
                <c:pt idx="38">
                  <c:v>-0.1999999999999976</c:v>
                </c:pt>
                <c:pt idx="39">
                  <c:v>-9.9999999999997591E-2</c:v>
                </c:pt>
                <c:pt idx="40">
                  <c:v>2.4147350785597155E-15</c:v>
                </c:pt>
                <c:pt idx="41">
                  <c:v>0.10000000000000242</c:v>
                </c:pt>
                <c:pt idx="42">
                  <c:v>0.20000000000000243</c:v>
                </c:pt>
                <c:pt idx="43">
                  <c:v>0.30000000000000243</c:v>
                </c:pt>
                <c:pt idx="44">
                  <c:v>0.40000000000000246</c:v>
                </c:pt>
                <c:pt idx="45">
                  <c:v>0.50000000000000244</c:v>
                </c:pt>
                <c:pt idx="46">
                  <c:v>0.60000000000000242</c:v>
                </c:pt>
                <c:pt idx="47">
                  <c:v>0.7000000000000024</c:v>
                </c:pt>
                <c:pt idx="48">
                  <c:v>0.80000000000000238</c:v>
                </c:pt>
                <c:pt idx="49">
                  <c:v>0.90000000000000235</c:v>
                </c:pt>
                <c:pt idx="50">
                  <c:v>1.0000000000000024</c:v>
                </c:pt>
                <c:pt idx="51">
                  <c:v>1.1000000000000025</c:v>
                </c:pt>
                <c:pt idx="52">
                  <c:v>1.2000000000000026</c:v>
                </c:pt>
                <c:pt idx="53">
                  <c:v>1.3000000000000027</c:v>
                </c:pt>
                <c:pt idx="54">
                  <c:v>1.4000000000000028</c:v>
                </c:pt>
                <c:pt idx="55">
                  <c:v>1.5000000000000029</c:v>
                </c:pt>
                <c:pt idx="56">
                  <c:v>1.600000000000003</c:v>
                </c:pt>
                <c:pt idx="57">
                  <c:v>1.7000000000000031</c:v>
                </c:pt>
                <c:pt idx="58">
                  <c:v>1.8000000000000032</c:v>
                </c:pt>
                <c:pt idx="59">
                  <c:v>1.9000000000000032</c:v>
                </c:pt>
                <c:pt idx="60">
                  <c:v>2.0000000000000031</c:v>
                </c:pt>
                <c:pt idx="61">
                  <c:v>2.1000000000000032</c:v>
                </c:pt>
                <c:pt idx="62">
                  <c:v>2.2000000000000033</c:v>
                </c:pt>
                <c:pt idx="63">
                  <c:v>2.3000000000000034</c:v>
                </c:pt>
                <c:pt idx="64">
                  <c:v>2.4000000000000035</c:v>
                </c:pt>
                <c:pt idx="65">
                  <c:v>2.5000000000000036</c:v>
                </c:pt>
                <c:pt idx="66">
                  <c:v>2.6000000000000036</c:v>
                </c:pt>
                <c:pt idx="67">
                  <c:v>2.7000000000000037</c:v>
                </c:pt>
                <c:pt idx="68">
                  <c:v>2.8000000000000038</c:v>
                </c:pt>
                <c:pt idx="69">
                  <c:v>2.9000000000000039</c:v>
                </c:pt>
                <c:pt idx="70">
                  <c:v>3.000000000000004</c:v>
                </c:pt>
                <c:pt idx="71">
                  <c:v>3.1000000000000041</c:v>
                </c:pt>
                <c:pt idx="72">
                  <c:v>3.2000000000000042</c:v>
                </c:pt>
                <c:pt idx="73">
                  <c:v>3.3000000000000043</c:v>
                </c:pt>
                <c:pt idx="74">
                  <c:v>3.4000000000000044</c:v>
                </c:pt>
                <c:pt idx="75">
                  <c:v>3.5000000000000044</c:v>
                </c:pt>
                <c:pt idx="76">
                  <c:v>3.6000000000000045</c:v>
                </c:pt>
                <c:pt idx="77">
                  <c:v>3.7000000000000046</c:v>
                </c:pt>
                <c:pt idx="78">
                  <c:v>3.8000000000000047</c:v>
                </c:pt>
                <c:pt idx="79">
                  <c:v>3.9000000000000048</c:v>
                </c:pt>
              </c:numCache>
            </c:numRef>
          </c:xVal>
          <c:yVal>
            <c:numRef>
              <c:f>Distributions!$E$94:$E$201</c:f>
              <c:numCache>
                <c:formatCode>0.000</c:formatCode>
                <c:ptCount val="108"/>
                <c:pt idx="34">
                  <c:v>1.358296923368571E-2</c:v>
                </c:pt>
                <c:pt idx="35">
                  <c:v>1.7528300493568655E-2</c:v>
                </c:pt>
                <c:pt idx="36">
                  <c:v>2.2394530294843017E-2</c:v>
                </c:pt>
                <c:pt idx="37">
                  <c:v>2.8327037741601325E-2</c:v>
                </c:pt>
                <c:pt idx="38">
                  <c:v>3.5474592846231626E-2</c:v>
                </c:pt>
                <c:pt idx="39">
                  <c:v>4.3983595980427427E-2</c:v>
                </c:pt>
                <c:pt idx="40">
                  <c:v>5.3990966513188313E-2</c:v>
                </c:pt>
                <c:pt idx="41">
                  <c:v>6.5615814774676873E-2</c:v>
                </c:pt>
                <c:pt idx="42">
                  <c:v>7.895015830089451E-2</c:v>
                </c:pt>
                <c:pt idx="43">
                  <c:v>9.4049077376887322E-2</c:v>
                </c:pt>
                <c:pt idx="44">
                  <c:v>0.11092083467945603</c:v>
                </c:pt>
                <c:pt idx="45">
                  <c:v>0.12951759566589222</c:v>
                </c:pt>
                <c:pt idx="46">
                  <c:v>0.14972746563574535</c:v>
                </c:pt>
                <c:pt idx="47">
                  <c:v>0.17136859204780791</c:v>
                </c:pt>
                <c:pt idx="48">
                  <c:v>0.19418605498321354</c:v>
                </c:pt>
                <c:pt idx="49">
                  <c:v>0.21785217703255111</c:v>
                </c:pt>
                <c:pt idx="50">
                  <c:v>0.24197072451914395</c:v>
                </c:pt>
                <c:pt idx="51">
                  <c:v>0.26608524989875543</c:v>
                </c:pt>
                <c:pt idx="52">
                  <c:v>0.2896915527614834</c:v>
                </c:pt>
                <c:pt idx="53">
                  <c:v>0.31225393336676188</c:v>
                </c:pt>
                <c:pt idx="54">
                  <c:v>0.33322460289180023</c:v>
                </c:pt>
                <c:pt idx="55">
                  <c:v>0.35206532676430002</c:v>
                </c:pt>
                <c:pt idx="56">
                  <c:v>0.36827014030332378</c:v>
                </c:pt>
                <c:pt idx="57">
                  <c:v>0.38138781546052442</c:v>
                </c:pt>
                <c:pt idx="58">
                  <c:v>0.39104269397545616</c:v>
                </c:pt>
                <c:pt idx="59">
                  <c:v>0.39695254747701192</c:v>
                </c:pt>
                <c:pt idx="60">
                  <c:v>0.3989422804014327</c:v>
                </c:pt>
                <c:pt idx="61">
                  <c:v>0.39695254747701164</c:v>
                </c:pt>
                <c:pt idx="62">
                  <c:v>0.39104269397545566</c:v>
                </c:pt>
                <c:pt idx="63">
                  <c:v>0.38138781546052375</c:v>
                </c:pt>
                <c:pt idx="64">
                  <c:v>0.36827014030332283</c:v>
                </c:pt>
                <c:pt idx="65">
                  <c:v>0.35206532676429886</c:v>
                </c:pt>
                <c:pt idx="66">
                  <c:v>0.33322460289179895</c:v>
                </c:pt>
                <c:pt idx="67">
                  <c:v>0.31225393336676049</c:v>
                </c:pt>
                <c:pt idx="68">
                  <c:v>0.2896915527614819</c:v>
                </c:pt>
                <c:pt idx="69">
                  <c:v>0.26608524989875387</c:v>
                </c:pt>
                <c:pt idx="70">
                  <c:v>0.24197072451914239</c:v>
                </c:pt>
                <c:pt idx="71">
                  <c:v>0.21785217703254955</c:v>
                </c:pt>
                <c:pt idx="72">
                  <c:v>0.19418605498321198</c:v>
                </c:pt>
                <c:pt idx="73">
                  <c:v>0.17136859204780641</c:v>
                </c:pt>
                <c:pt idx="74">
                  <c:v>0.14972746563574393</c:v>
                </c:pt>
                <c:pt idx="75">
                  <c:v>0.12951759566589088</c:v>
                </c:pt>
                <c:pt idx="76">
                  <c:v>0.11092083467945475</c:v>
                </c:pt>
                <c:pt idx="77">
                  <c:v>9.4049077376886198E-2</c:v>
                </c:pt>
                <c:pt idx="78">
                  <c:v>7.8950158300893483E-2</c:v>
                </c:pt>
                <c:pt idx="79">
                  <c:v>6.5615814774675998E-2</c:v>
                </c:pt>
                <c:pt idx="80">
                  <c:v>5.3990966513188063E-2</c:v>
                </c:pt>
                <c:pt idx="81">
                  <c:v>5.3990966513188063E-2</c:v>
                </c:pt>
                <c:pt idx="82">
                  <c:v>5.3990966513188063E-2</c:v>
                </c:pt>
                <c:pt idx="83">
                  <c:v>5.3990966513188063E-2</c:v>
                </c:pt>
                <c:pt idx="84">
                  <c:v>5.3990966513188063E-2</c:v>
                </c:pt>
                <c:pt idx="85">
                  <c:v>5.3990966513188063E-2</c:v>
                </c:pt>
                <c:pt idx="86">
                  <c:v>5.3990966513188063E-2</c:v>
                </c:pt>
                <c:pt idx="87">
                  <c:v>5.3990966513188063E-2</c:v>
                </c:pt>
                <c:pt idx="88">
                  <c:v>5.3990966513188063E-2</c:v>
                </c:pt>
                <c:pt idx="89">
                  <c:v>5.3990966513188063E-2</c:v>
                </c:pt>
                <c:pt idx="90">
                  <c:v>5.3990966513188063E-2</c:v>
                </c:pt>
                <c:pt idx="91">
                  <c:v>5.3990966513188063E-2</c:v>
                </c:pt>
                <c:pt idx="92">
                  <c:v>5.3990966513188063E-2</c:v>
                </c:pt>
                <c:pt idx="93">
                  <c:v>5.3990966513188063E-2</c:v>
                </c:pt>
                <c:pt idx="94">
                  <c:v>5.3990966513188063E-2</c:v>
                </c:pt>
                <c:pt idx="95">
                  <c:v>5.3990966513188063E-2</c:v>
                </c:pt>
                <c:pt idx="96">
                  <c:v>5.3990966513188063E-2</c:v>
                </c:pt>
                <c:pt idx="97">
                  <c:v>5.3990966513188063E-2</c:v>
                </c:pt>
                <c:pt idx="98">
                  <c:v>5.3990966513188063E-2</c:v>
                </c:pt>
                <c:pt idx="99">
                  <c:v>5.3990966513188063E-2</c:v>
                </c:pt>
                <c:pt idx="100">
                  <c:v>5.3990966513188063E-2</c:v>
                </c:pt>
                <c:pt idx="101">
                  <c:v>5.3990966513188063E-2</c:v>
                </c:pt>
                <c:pt idx="102">
                  <c:v>5.3990966513188063E-2</c:v>
                </c:pt>
                <c:pt idx="103">
                  <c:v>5.3990966513188063E-2</c:v>
                </c:pt>
                <c:pt idx="104">
                  <c:v>5.3990966513188063E-2</c:v>
                </c:pt>
                <c:pt idx="105">
                  <c:v>5.3990966513188063E-2</c:v>
                </c:pt>
                <c:pt idx="106">
                  <c:v>5.3990966513188063E-2</c:v>
                </c:pt>
                <c:pt idx="107">
                  <c:v>5.3990966513188063E-2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251D-4789-AB10-A27CF18AC90B}"/>
            </c:ext>
          </c:extLst>
        </c:ser>
        <c:ser>
          <c:idx val="7"/>
          <c:order val="3"/>
          <c:spPr>
            <a:ln>
              <a:solidFill>
                <a:srgbClr val="002060"/>
              </a:solidFill>
            </a:ln>
          </c:spPr>
          <c:marker>
            <c:symbol val="none"/>
          </c:marker>
          <c:xVal>
            <c:numRef>
              <c:f>Distributions!$B$94:$B$201</c:f>
              <c:numCache>
                <c:formatCode>0.000</c:formatCode>
                <c:ptCount val="108"/>
                <c:pt idx="0">
                  <c:v>-4</c:v>
                </c:pt>
                <c:pt idx="1">
                  <c:v>-3.9</c:v>
                </c:pt>
                <c:pt idx="2">
                  <c:v>-3.8</c:v>
                </c:pt>
                <c:pt idx="3">
                  <c:v>-3.6999999999999997</c:v>
                </c:pt>
                <c:pt idx="4">
                  <c:v>-3.5999999999999996</c:v>
                </c:pt>
                <c:pt idx="5">
                  <c:v>-3.4999999999999996</c:v>
                </c:pt>
                <c:pt idx="6">
                  <c:v>-3.3999999999999995</c:v>
                </c:pt>
                <c:pt idx="7">
                  <c:v>-3.2999999999999994</c:v>
                </c:pt>
                <c:pt idx="8">
                  <c:v>-3.1999999999999993</c:v>
                </c:pt>
                <c:pt idx="9">
                  <c:v>-3.0999999999999992</c:v>
                </c:pt>
                <c:pt idx="10">
                  <c:v>-2.9999999999999991</c:v>
                </c:pt>
                <c:pt idx="11">
                  <c:v>-2.899999999999999</c:v>
                </c:pt>
                <c:pt idx="12">
                  <c:v>-2.7999999999999989</c:v>
                </c:pt>
                <c:pt idx="13">
                  <c:v>-2.6999999999999988</c:v>
                </c:pt>
                <c:pt idx="14">
                  <c:v>-2.5999999999999988</c:v>
                </c:pt>
                <c:pt idx="15">
                  <c:v>-2.4999999999999987</c:v>
                </c:pt>
                <c:pt idx="16">
                  <c:v>-2.3999999999999986</c:v>
                </c:pt>
                <c:pt idx="17">
                  <c:v>-2.2999999999999985</c:v>
                </c:pt>
                <c:pt idx="18">
                  <c:v>-2.1999999999999984</c:v>
                </c:pt>
                <c:pt idx="19">
                  <c:v>-2.0999999999999983</c:v>
                </c:pt>
                <c:pt idx="20">
                  <c:v>-1.9999999999999982</c:v>
                </c:pt>
                <c:pt idx="21">
                  <c:v>-1.8999999999999981</c:v>
                </c:pt>
                <c:pt idx="22">
                  <c:v>-1.799999999999998</c:v>
                </c:pt>
                <c:pt idx="23">
                  <c:v>-1.699999999999998</c:v>
                </c:pt>
                <c:pt idx="24">
                  <c:v>-1.5999999999999979</c:v>
                </c:pt>
                <c:pt idx="25">
                  <c:v>-1.4999999999999978</c:v>
                </c:pt>
                <c:pt idx="26">
                  <c:v>-1.3999999999999977</c:v>
                </c:pt>
                <c:pt idx="27">
                  <c:v>-1.2999999999999976</c:v>
                </c:pt>
                <c:pt idx="28">
                  <c:v>-1.1999999999999975</c:v>
                </c:pt>
                <c:pt idx="29">
                  <c:v>-1.0999999999999974</c:v>
                </c:pt>
                <c:pt idx="30">
                  <c:v>-0.99999999999999745</c:v>
                </c:pt>
                <c:pt idx="31">
                  <c:v>-0.89999999999999747</c:v>
                </c:pt>
                <c:pt idx="32">
                  <c:v>-0.79999999999999749</c:v>
                </c:pt>
                <c:pt idx="33">
                  <c:v>-0.69999999999999751</c:v>
                </c:pt>
                <c:pt idx="34">
                  <c:v>-0.59999999999999754</c:v>
                </c:pt>
                <c:pt idx="35">
                  <c:v>-0.49999999999999756</c:v>
                </c:pt>
                <c:pt idx="36">
                  <c:v>-0.39999999999999758</c:v>
                </c:pt>
                <c:pt idx="37">
                  <c:v>-0.2999999999999976</c:v>
                </c:pt>
                <c:pt idx="38">
                  <c:v>-0.1999999999999976</c:v>
                </c:pt>
                <c:pt idx="39">
                  <c:v>-9.9999999999997591E-2</c:v>
                </c:pt>
                <c:pt idx="40">
                  <c:v>2.4147350785597155E-15</c:v>
                </c:pt>
                <c:pt idx="41">
                  <c:v>0.10000000000000242</c:v>
                </c:pt>
                <c:pt idx="42">
                  <c:v>0.20000000000000243</c:v>
                </c:pt>
                <c:pt idx="43">
                  <c:v>0.30000000000000243</c:v>
                </c:pt>
                <c:pt idx="44">
                  <c:v>0.40000000000000246</c:v>
                </c:pt>
                <c:pt idx="45">
                  <c:v>0.50000000000000244</c:v>
                </c:pt>
                <c:pt idx="46">
                  <c:v>0.60000000000000242</c:v>
                </c:pt>
                <c:pt idx="47">
                  <c:v>0.7000000000000024</c:v>
                </c:pt>
                <c:pt idx="48">
                  <c:v>0.80000000000000238</c:v>
                </c:pt>
                <c:pt idx="49">
                  <c:v>0.90000000000000235</c:v>
                </c:pt>
                <c:pt idx="50">
                  <c:v>1.0000000000000024</c:v>
                </c:pt>
                <c:pt idx="51">
                  <c:v>1.1000000000000025</c:v>
                </c:pt>
                <c:pt idx="52">
                  <c:v>1.2000000000000026</c:v>
                </c:pt>
                <c:pt idx="53">
                  <c:v>1.3000000000000027</c:v>
                </c:pt>
                <c:pt idx="54">
                  <c:v>1.4000000000000028</c:v>
                </c:pt>
                <c:pt idx="55">
                  <c:v>1.5000000000000029</c:v>
                </c:pt>
                <c:pt idx="56">
                  <c:v>1.600000000000003</c:v>
                </c:pt>
                <c:pt idx="57">
                  <c:v>1.7000000000000031</c:v>
                </c:pt>
                <c:pt idx="58">
                  <c:v>1.8000000000000032</c:v>
                </c:pt>
                <c:pt idx="59">
                  <c:v>1.9000000000000032</c:v>
                </c:pt>
                <c:pt idx="60">
                  <c:v>2.0000000000000031</c:v>
                </c:pt>
                <c:pt idx="61">
                  <c:v>2.1000000000000032</c:v>
                </c:pt>
                <c:pt idx="62">
                  <c:v>2.2000000000000033</c:v>
                </c:pt>
                <c:pt idx="63">
                  <c:v>2.3000000000000034</c:v>
                </c:pt>
                <c:pt idx="64">
                  <c:v>2.4000000000000035</c:v>
                </c:pt>
                <c:pt idx="65">
                  <c:v>2.5000000000000036</c:v>
                </c:pt>
                <c:pt idx="66">
                  <c:v>2.6000000000000036</c:v>
                </c:pt>
                <c:pt idx="67">
                  <c:v>2.7000000000000037</c:v>
                </c:pt>
                <c:pt idx="68">
                  <c:v>2.8000000000000038</c:v>
                </c:pt>
                <c:pt idx="69">
                  <c:v>2.9000000000000039</c:v>
                </c:pt>
                <c:pt idx="70">
                  <c:v>3.000000000000004</c:v>
                </c:pt>
                <c:pt idx="71">
                  <c:v>3.1000000000000041</c:v>
                </c:pt>
                <c:pt idx="72">
                  <c:v>3.2000000000000042</c:v>
                </c:pt>
                <c:pt idx="73">
                  <c:v>3.3000000000000043</c:v>
                </c:pt>
                <c:pt idx="74">
                  <c:v>3.4000000000000044</c:v>
                </c:pt>
                <c:pt idx="75">
                  <c:v>3.5000000000000044</c:v>
                </c:pt>
                <c:pt idx="76">
                  <c:v>3.6000000000000045</c:v>
                </c:pt>
                <c:pt idx="77">
                  <c:v>3.7000000000000046</c:v>
                </c:pt>
                <c:pt idx="78">
                  <c:v>3.8000000000000047</c:v>
                </c:pt>
                <c:pt idx="79">
                  <c:v>3.9000000000000048</c:v>
                </c:pt>
              </c:numCache>
            </c:numRef>
          </c:xVal>
          <c:yVal>
            <c:numRef>
              <c:f>Distributions!$F$94:$F$201</c:f>
              <c:numCache>
                <c:formatCode>0.000</c:formatCode>
                <c:ptCount val="108"/>
                <c:pt idx="0">
                  <c:v>2.6995483256594031E-2</c:v>
                </c:pt>
                <c:pt idx="1">
                  <c:v>2.9797353034408038E-2</c:v>
                </c:pt>
                <c:pt idx="2">
                  <c:v>3.2807907387338298E-2</c:v>
                </c:pt>
                <c:pt idx="3">
                  <c:v>3.6032437168109013E-2</c:v>
                </c:pt>
                <c:pt idx="4">
                  <c:v>3.9475079150447089E-2</c:v>
                </c:pt>
                <c:pt idx="5">
                  <c:v>4.313865941325578E-2</c:v>
                </c:pt>
                <c:pt idx="6">
                  <c:v>4.7024538688443487E-2</c:v>
                </c:pt>
                <c:pt idx="7">
                  <c:v>5.113246228198904E-2</c:v>
                </c:pt>
                <c:pt idx="8">
                  <c:v>5.5460417339727813E-2</c:v>
                </c:pt>
                <c:pt idx="9">
                  <c:v>6.0004500348492834E-2</c:v>
                </c:pt>
                <c:pt idx="10">
                  <c:v>6.4758797832945914E-2</c:v>
                </c:pt>
                <c:pt idx="11">
                  <c:v>6.9715283222680183E-2</c:v>
                </c:pt>
                <c:pt idx="12">
                  <c:v>7.4863732817872494E-2</c:v>
                </c:pt>
                <c:pt idx="13">
                  <c:v>8.0191663670959867E-2</c:v>
                </c:pt>
                <c:pt idx="14">
                  <c:v>8.5684296023903747E-2</c:v>
                </c:pt>
                <c:pt idx="15">
                  <c:v>9.1324542694511041E-2</c:v>
                </c:pt>
                <c:pt idx="16">
                  <c:v>9.7093027491606559E-2</c:v>
                </c:pt>
                <c:pt idx="17">
                  <c:v>0.10296813435998747</c:v>
                </c:pt>
                <c:pt idx="18">
                  <c:v>0.10892608851627537</c:v>
                </c:pt>
                <c:pt idx="19">
                  <c:v>0.11494107034211662</c:v>
                </c:pt>
                <c:pt idx="20">
                  <c:v>0.12098536225957179</c:v>
                </c:pt>
                <c:pt idx="21">
                  <c:v>0.12702952823459462</c:v>
                </c:pt>
                <c:pt idx="22">
                  <c:v>0.13304262494937752</c:v>
                </c:pt>
                <c:pt idx="23">
                  <c:v>0.13899244306549835</c:v>
                </c:pt>
                <c:pt idx="24">
                  <c:v>0.1448457763807415</c:v>
                </c:pt>
                <c:pt idx="25">
                  <c:v>0.15056871607740235</c:v>
                </c:pt>
                <c:pt idx="26">
                  <c:v>0.15612696668338077</c:v>
                </c:pt>
                <c:pt idx="27">
                  <c:v>0.16148617983395727</c:v>
                </c:pt>
                <c:pt idx="28">
                  <c:v>0.16661230144589995</c:v>
                </c:pt>
                <c:pt idx="29">
                  <c:v>0.17147192750969206</c:v>
                </c:pt>
                <c:pt idx="30">
                  <c:v>0.17603266338214987</c:v>
                </c:pt>
                <c:pt idx="31">
                  <c:v>0.18026348123082409</c:v>
                </c:pt>
                <c:pt idx="32">
                  <c:v>0.18413507015166175</c:v>
                </c:pt>
                <c:pt idx="33">
                  <c:v>0.18762017345846904</c:v>
                </c:pt>
                <c:pt idx="34">
                  <c:v>0.19069390773026212</c:v>
                </c:pt>
                <c:pt idx="35">
                  <c:v>0.19333405840142467</c:v>
                </c:pt>
                <c:pt idx="36">
                  <c:v>0.195521346987728</c:v>
                </c:pt>
                <c:pt idx="37">
                  <c:v>0.1972396654539445</c:v>
                </c:pt>
                <c:pt idx="38">
                  <c:v>0.19847627373850593</c:v>
                </c:pt>
                <c:pt idx="39">
                  <c:v>0.19922195704738202</c:v>
                </c:pt>
                <c:pt idx="40">
                  <c:v>0.19947114020071635</c:v>
                </c:pt>
                <c:pt idx="41">
                  <c:v>0.19922195704738199</c:v>
                </c:pt>
                <c:pt idx="42">
                  <c:v>0.19847627373850588</c:v>
                </c:pt>
                <c:pt idx="43">
                  <c:v>0.19723966545394442</c:v>
                </c:pt>
                <c:pt idx="44">
                  <c:v>0.19552134698772788</c:v>
                </c:pt>
                <c:pt idx="45">
                  <c:v>0.19333405840142456</c:v>
                </c:pt>
                <c:pt idx="46">
                  <c:v>0.19069390773026199</c:v>
                </c:pt>
                <c:pt idx="47">
                  <c:v>0.18762017345846888</c:v>
                </c:pt>
                <c:pt idx="48">
                  <c:v>0.18413507015166158</c:v>
                </c:pt>
                <c:pt idx="49">
                  <c:v>0.18026348123082389</c:v>
                </c:pt>
                <c:pt idx="50">
                  <c:v>0.17603266338214965</c:v>
                </c:pt>
                <c:pt idx="51">
                  <c:v>0.17147192750969184</c:v>
                </c:pt>
                <c:pt idx="52">
                  <c:v>0.1666123014458997</c:v>
                </c:pt>
                <c:pt idx="53">
                  <c:v>0.16148617983395702</c:v>
                </c:pt>
                <c:pt idx="54">
                  <c:v>0.15612696668338047</c:v>
                </c:pt>
                <c:pt idx="55">
                  <c:v>0.15056871607740205</c:v>
                </c:pt>
                <c:pt idx="56">
                  <c:v>0.1448457763807412</c:v>
                </c:pt>
                <c:pt idx="57">
                  <c:v>0.13899244306549807</c:v>
                </c:pt>
                <c:pt idx="58">
                  <c:v>0.13304262494937724</c:v>
                </c:pt>
                <c:pt idx="59">
                  <c:v>0.12702952823459432</c:v>
                </c:pt>
                <c:pt idx="60">
                  <c:v>0.1209853622595715</c:v>
                </c:pt>
                <c:pt idx="61">
                  <c:v>0.11494107034211633</c:v>
                </c:pt>
                <c:pt idx="62">
                  <c:v>0.10892608851627507</c:v>
                </c:pt>
                <c:pt idx="63">
                  <c:v>0.1029681343599872</c:v>
                </c:pt>
                <c:pt idx="64">
                  <c:v>9.7093027491606268E-2</c:v>
                </c:pt>
                <c:pt idx="65">
                  <c:v>9.1324542694510763E-2</c:v>
                </c:pt>
                <c:pt idx="66">
                  <c:v>8.568429602390347E-2</c:v>
                </c:pt>
                <c:pt idx="67">
                  <c:v>8.019166367095959E-2</c:v>
                </c:pt>
                <c:pt idx="68">
                  <c:v>7.4863732817872244E-2</c:v>
                </c:pt>
                <c:pt idx="69">
                  <c:v>6.9715283222679933E-2</c:v>
                </c:pt>
                <c:pt idx="70">
                  <c:v>6.4758797832945664E-2</c:v>
                </c:pt>
                <c:pt idx="71">
                  <c:v>6.0004500348492605E-2</c:v>
                </c:pt>
                <c:pt idx="72">
                  <c:v>5.5460417339727598E-2</c:v>
                </c:pt>
                <c:pt idx="73">
                  <c:v>5.1132462281988818E-2</c:v>
                </c:pt>
                <c:pt idx="74">
                  <c:v>4.7024538688443293E-2</c:v>
                </c:pt>
                <c:pt idx="75">
                  <c:v>4.3138659413255585E-2</c:v>
                </c:pt>
                <c:pt idx="76">
                  <c:v>3.9475079150446922E-2</c:v>
                </c:pt>
                <c:pt idx="77">
                  <c:v>3.603243716810884E-2</c:v>
                </c:pt>
                <c:pt idx="78">
                  <c:v>3.2807907387338152E-2</c:v>
                </c:pt>
                <c:pt idx="79">
                  <c:v>2.9797353034407892E-2</c:v>
                </c:pt>
                <c:pt idx="80">
                  <c:v>0.19947114020071635</c:v>
                </c:pt>
                <c:pt idx="81">
                  <c:v>0.19947114020071635</c:v>
                </c:pt>
                <c:pt idx="82">
                  <c:v>0.19947114020071635</c:v>
                </c:pt>
                <c:pt idx="83">
                  <c:v>0.19947114020071635</c:v>
                </c:pt>
                <c:pt idx="84">
                  <c:v>0.19947114020071635</c:v>
                </c:pt>
                <c:pt idx="85">
                  <c:v>0.19947114020071635</c:v>
                </c:pt>
                <c:pt idx="86">
                  <c:v>0.19947114020071635</c:v>
                </c:pt>
                <c:pt idx="87">
                  <c:v>0.19947114020071635</c:v>
                </c:pt>
                <c:pt idx="88">
                  <c:v>0.19947114020071635</c:v>
                </c:pt>
                <c:pt idx="89">
                  <c:v>0.19947114020071635</c:v>
                </c:pt>
                <c:pt idx="90">
                  <c:v>0.19947114020071635</c:v>
                </c:pt>
                <c:pt idx="91">
                  <c:v>0.19947114020071635</c:v>
                </c:pt>
                <c:pt idx="92">
                  <c:v>0.19947114020071635</c:v>
                </c:pt>
                <c:pt idx="93">
                  <c:v>0.19947114020071635</c:v>
                </c:pt>
                <c:pt idx="94">
                  <c:v>0.19947114020071635</c:v>
                </c:pt>
                <c:pt idx="95">
                  <c:v>0.19947114020071635</c:v>
                </c:pt>
                <c:pt idx="96">
                  <c:v>0.19947114020071635</c:v>
                </c:pt>
                <c:pt idx="97">
                  <c:v>0.19947114020071635</c:v>
                </c:pt>
                <c:pt idx="98">
                  <c:v>0.19947114020071635</c:v>
                </c:pt>
                <c:pt idx="99">
                  <c:v>0.19947114020071635</c:v>
                </c:pt>
                <c:pt idx="100">
                  <c:v>0.19947114020071635</c:v>
                </c:pt>
                <c:pt idx="101">
                  <c:v>0.19947114020071635</c:v>
                </c:pt>
                <c:pt idx="102">
                  <c:v>0.19947114020071635</c:v>
                </c:pt>
                <c:pt idx="103">
                  <c:v>0.19947114020071635</c:v>
                </c:pt>
                <c:pt idx="104">
                  <c:v>0.19947114020071635</c:v>
                </c:pt>
                <c:pt idx="105">
                  <c:v>0.19947114020071635</c:v>
                </c:pt>
                <c:pt idx="106">
                  <c:v>0.19947114020071635</c:v>
                </c:pt>
                <c:pt idx="107">
                  <c:v>0.19947114020071635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251D-4789-AB10-A27CF18AC90B}"/>
            </c:ext>
          </c:extLst>
        </c:ser>
        <c:ser>
          <c:idx val="0"/>
          <c:order val="4"/>
          <c:spPr>
            <a:ln w="19050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xVal>
            <c:numRef>
              <c:f>Distributions!$B$94:$B$201</c:f>
              <c:numCache>
                <c:formatCode>0.000</c:formatCode>
                <c:ptCount val="108"/>
                <c:pt idx="0">
                  <c:v>-4</c:v>
                </c:pt>
                <c:pt idx="1">
                  <c:v>-3.9</c:v>
                </c:pt>
                <c:pt idx="2">
                  <c:v>-3.8</c:v>
                </c:pt>
                <c:pt idx="3">
                  <c:v>-3.6999999999999997</c:v>
                </c:pt>
                <c:pt idx="4">
                  <c:v>-3.5999999999999996</c:v>
                </c:pt>
                <c:pt idx="5">
                  <c:v>-3.4999999999999996</c:v>
                </c:pt>
                <c:pt idx="6">
                  <c:v>-3.3999999999999995</c:v>
                </c:pt>
                <c:pt idx="7">
                  <c:v>-3.2999999999999994</c:v>
                </c:pt>
                <c:pt idx="8">
                  <c:v>-3.1999999999999993</c:v>
                </c:pt>
                <c:pt idx="9">
                  <c:v>-3.0999999999999992</c:v>
                </c:pt>
                <c:pt idx="10">
                  <c:v>-2.9999999999999991</c:v>
                </c:pt>
                <c:pt idx="11">
                  <c:v>-2.899999999999999</c:v>
                </c:pt>
                <c:pt idx="12">
                  <c:v>-2.7999999999999989</c:v>
                </c:pt>
                <c:pt idx="13">
                  <c:v>-2.6999999999999988</c:v>
                </c:pt>
                <c:pt idx="14">
                  <c:v>-2.5999999999999988</c:v>
                </c:pt>
                <c:pt idx="15">
                  <c:v>-2.4999999999999987</c:v>
                </c:pt>
                <c:pt idx="16">
                  <c:v>-2.3999999999999986</c:v>
                </c:pt>
                <c:pt idx="17">
                  <c:v>-2.2999999999999985</c:v>
                </c:pt>
                <c:pt idx="18">
                  <c:v>-2.1999999999999984</c:v>
                </c:pt>
                <c:pt idx="19">
                  <c:v>-2.0999999999999983</c:v>
                </c:pt>
                <c:pt idx="20">
                  <c:v>-1.9999999999999982</c:v>
                </c:pt>
                <c:pt idx="21">
                  <c:v>-1.8999999999999981</c:v>
                </c:pt>
                <c:pt idx="22">
                  <c:v>-1.799999999999998</c:v>
                </c:pt>
                <c:pt idx="23">
                  <c:v>-1.699999999999998</c:v>
                </c:pt>
                <c:pt idx="24">
                  <c:v>-1.5999999999999979</c:v>
                </c:pt>
                <c:pt idx="25">
                  <c:v>-1.4999999999999978</c:v>
                </c:pt>
                <c:pt idx="26">
                  <c:v>-1.3999999999999977</c:v>
                </c:pt>
                <c:pt idx="27">
                  <c:v>-1.2999999999999976</c:v>
                </c:pt>
                <c:pt idx="28">
                  <c:v>-1.1999999999999975</c:v>
                </c:pt>
                <c:pt idx="29">
                  <c:v>-1.0999999999999974</c:v>
                </c:pt>
                <c:pt idx="30">
                  <c:v>-0.99999999999999745</c:v>
                </c:pt>
                <c:pt idx="31">
                  <c:v>-0.89999999999999747</c:v>
                </c:pt>
                <c:pt idx="32">
                  <c:v>-0.79999999999999749</c:v>
                </c:pt>
                <c:pt idx="33">
                  <c:v>-0.69999999999999751</c:v>
                </c:pt>
                <c:pt idx="34">
                  <c:v>-0.59999999999999754</c:v>
                </c:pt>
                <c:pt idx="35">
                  <c:v>-0.49999999999999756</c:v>
                </c:pt>
                <c:pt idx="36">
                  <c:v>-0.39999999999999758</c:v>
                </c:pt>
                <c:pt idx="37">
                  <c:v>-0.2999999999999976</c:v>
                </c:pt>
                <c:pt idx="38">
                  <c:v>-0.1999999999999976</c:v>
                </c:pt>
                <c:pt idx="39">
                  <c:v>-9.9999999999997591E-2</c:v>
                </c:pt>
                <c:pt idx="40">
                  <c:v>2.4147350785597155E-15</c:v>
                </c:pt>
                <c:pt idx="41">
                  <c:v>0.10000000000000242</c:v>
                </c:pt>
                <c:pt idx="42">
                  <c:v>0.20000000000000243</c:v>
                </c:pt>
                <c:pt idx="43">
                  <c:v>0.30000000000000243</c:v>
                </c:pt>
                <c:pt idx="44">
                  <c:v>0.40000000000000246</c:v>
                </c:pt>
                <c:pt idx="45">
                  <c:v>0.50000000000000244</c:v>
                </c:pt>
                <c:pt idx="46">
                  <c:v>0.60000000000000242</c:v>
                </c:pt>
                <c:pt idx="47">
                  <c:v>0.7000000000000024</c:v>
                </c:pt>
                <c:pt idx="48">
                  <c:v>0.80000000000000238</c:v>
                </c:pt>
                <c:pt idx="49">
                  <c:v>0.90000000000000235</c:v>
                </c:pt>
                <c:pt idx="50">
                  <c:v>1.0000000000000024</c:v>
                </c:pt>
                <c:pt idx="51">
                  <c:v>1.1000000000000025</c:v>
                </c:pt>
                <c:pt idx="52">
                  <c:v>1.2000000000000026</c:v>
                </c:pt>
                <c:pt idx="53">
                  <c:v>1.3000000000000027</c:v>
                </c:pt>
                <c:pt idx="54">
                  <c:v>1.4000000000000028</c:v>
                </c:pt>
                <c:pt idx="55">
                  <c:v>1.5000000000000029</c:v>
                </c:pt>
                <c:pt idx="56">
                  <c:v>1.600000000000003</c:v>
                </c:pt>
                <c:pt idx="57">
                  <c:v>1.7000000000000031</c:v>
                </c:pt>
                <c:pt idx="58">
                  <c:v>1.8000000000000032</c:v>
                </c:pt>
                <c:pt idx="59">
                  <c:v>1.9000000000000032</c:v>
                </c:pt>
                <c:pt idx="60">
                  <c:v>2.0000000000000031</c:v>
                </c:pt>
                <c:pt idx="61">
                  <c:v>2.1000000000000032</c:v>
                </c:pt>
                <c:pt idx="62">
                  <c:v>2.2000000000000033</c:v>
                </c:pt>
                <c:pt idx="63">
                  <c:v>2.3000000000000034</c:v>
                </c:pt>
                <c:pt idx="64">
                  <c:v>2.4000000000000035</c:v>
                </c:pt>
                <c:pt idx="65">
                  <c:v>2.5000000000000036</c:v>
                </c:pt>
                <c:pt idx="66">
                  <c:v>2.6000000000000036</c:v>
                </c:pt>
                <c:pt idx="67">
                  <c:v>2.7000000000000037</c:v>
                </c:pt>
                <c:pt idx="68">
                  <c:v>2.8000000000000038</c:v>
                </c:pt>
                <c:pt idx="69">
                  <c:v>2.9000000000000039</c:v>
                </c:pt>
                <c:pt idx="70">
                  <c:v>3.000000000000004</c:v>
                </c:pt>
                <c:pt idx="71">
                  <c:v>3.1000000000000041</c:v>
                </c:pt>
                <c:pt idx="72">
                  <c:v>3.2000000000000042</c:v>
                </c:pt>
                <c:pt idx="73">
                  <c:v>3.3000000000000043</c:v>
                </c:pt>
                <c:pt idx="74">
                  <c:v>3.4000000000000044</c:v>
                </c:pt>
                <c:pt idx="75">
                  <c:v>3.5000000000000044</c:v>
                </c:pt>
                <c:pt idx="76">
                  <c:v>3.6000000000000045</c:v>
                </c:pt>
                <c:pt idx="77">
                  <c:v>3.7000000000000046</c:v>
                </c:pt>
                <c:pt idx="78">
                  <c:v>3.8000000000000047</c:v>
                </c:pt>
                <c:pt idx="79">
                  <c:v>3.9000000000000048</c:v>
                </c:pt>
              </c:numCache>
            </c:numRef>
          </c:xVal>
          <c:yVal>
            <c:numRef>
              <c:f>Distributions!$C$94:$C$201</c:f>
              <c:numCache>
                <c:formatCode>0.000</c:formatCode>
                <c:ptCount val="108"/>
                <c:pt idx="0">
                  <c:v>1.3383022576488537E-4</c:v>
                </c:pt>
                <c:pt idx="1">
                  <c:v>1.9865547139277272E-4</c:v>
                </c:pt>
                <c:pt idx="2">
                  <c:v>2.9194692579146027E-4</c:v>
                </c:pt>
                <c:pt idx="3">
                  <c:v>4.2478027055075219E-4</c:v>
                </c:pt>
                <c:pt idx="4">
                  <c:v>6.1190193011377298E-4</c:v>
                </c:pt>
                <c:pt idx="5">
                  <c:v>8.7268269504576167E-4</c:v>
                </c:pt>
                <c:pt idx="6">
                  <c:v>1.232219168473021E-3</c:v>
                </c:pt>
                <c:pt idx="7">
                  <c:v>1.7225689390536843E-3</c:v>
                </c:pt>
                <c:pt idx="8">
                  <c:v>2.3840882014648486E-3</c:v>
                </c:pt>
                <c:pt idx="9">
                  <c:v>3.2668190561999273E-3</c:v>
                </c:pt>
                <c:pt idx="10">
                  <c:v>4.4318484119380188E-3</c:v>
                </c:pt>
                <c:pt idx="11">
                  <c:v>5.9525324197758694E-3</c:v>
                </c:pt>
                <c:pt idx="12">
                  <c:v>7.9154515829799894E-3</c:v>
                </c:pt>
                <c:pt idx="13">
                  <c:v>1.0420934814422628E-2</c:v>
                </c:pt>
                <c:pt idx="14">
                  <c:v>1.3582969233685661E-2</c:v>
                </c:pt>
                <c:pt idx="15">
                  <c:v>1.7528300493568599E-2</c:v>
                </c:pt>
                <c:pt idx="16">
                  <c:v>2.2394530294842969E-2</c:v>
                </c:pt>
                <c:pt idx="17">
                  <c:v>2.8327037741601276E-2</c:v>
                </c:pt>
                <c:pt idx="18">
                  <c:v>3.547459284623157E-2</c:v>
                </c:pt>
                <c:pt idx="19">
                  <c:v>4.3983595980427351E-2</c:v>
                </c:pt>
                <c:pt idx="20">
                  <c:v>5.399096651318825E-2</c:v>
                </c:pt>
                <c:pt idx="21">
                  <c:v>6.5615814774676831E-2</c:v>
                </c:pt>
                <c:pt idx="22">
                  <c:v>7.8950158300894427E-2</c:v>
                </c:pt>
                <c:pt idx="23">
                  <c:v>9.4049077376887252E-2</c:v>
                </c:pt>
                <c:pt idx="24">
                  <c:v>0.11092083467945592</c:v>
                </c:pt>
                <c:pt idx="25">
                  <c:v>0.12951759566589216</c:v>
                </c:pt>
                <c:pt idx="26">
                  <c:v>0.14972746563574535</c:v>
                </c:pt>
                <c:pt idx="27">
                  <c:v>0.17136859204780791</c:v>
                </c:pt>
                <c:pt idx="28">
                  <c:v>0.19418605498321354</c:v>
                </c:pt>
                <c:pt idx="29">
                  <c:v>0.21785217703255116</c:v>
                </c:pt>
                <c:pt idx="30">
                  <c:v>0.24197072451914398</c:v>
                </c:pt>
                <c:pt idx="31">
                  <c:v>0.26608524989875543</c:v>
                </c:pt>
                <c:pt idx="32">
                  <c:v>0.28969155276148334</c:v>
                </c:pt>
                <c:pt idx="33">
                  <c:v>0.31225393336676183</c:v>
                </c:pt>
                <c:pt idx="34">
                  <c:v>0.33322460289180011</c:v>
                </c:pt>
                <c:pt idx="35">
                  <c:v>0.35206532676429991</c:v>
                </c:pt>
                <c:pt idx="36">
                  <c:v>0.36827014030332367</c:v>
                </c:pt>
                <c:pt idx="37">
                  <c:v>0.38138781546052442</c:v>
                </c:pt>
                <c:pt idx="38">
                  <c:v>0.3910426939754561</c:v>
                </c:pt>
                <c:pt idx="39">
                  <c:v>0.39695254747701186</c:v>
                </c:pt>
                <c:pt idx="40">
                  <c:v>0.3989422804014327</c:v>
                </c:pt>
                <c:pt idx="41">
                  <c:v>0.3969525474770117</c:v>
                </c:pt>
                <c:pt idx="42">
                  <c:v>0.39104269397545571</c:v>
                </c:pt>
                <c:pt idx="43">
                  <c:v>0.3813878154605238</c:v>
                </c:pt>
                <c:pt idx="44">
                  <c:v>0.36827014030332295</c:v>
                </c:pt>
                <c:pt idx="45">
                  <c:v>0.35206532676429908</c:v>
                </c:pt>
                <c:pt idx="46">
                  <c:v>0.33322460289179917</c:v>
                </c:pt>
                <c:pt idx="47">
                  <c:v>0.31225393336676072</c:v>
                </c:pt>
                <c:pt idx="48">
                  <c:v>0.28969155276148217</c:v>
                </c:pt>
                <c:pt idx="49">
                  <c:v>0.26608524989875426</c:v>
                </c:pt>
                <c:pt idx="50">
                  <c:v>0.24197072451914278</c:v>
                </c:pt>
                <c:pt idx="51">
                  <c:v>0.21785217703254997</c:v>
                </c:pt>
                <c:pt idx="52">
                  <c:v>0.19418605498321231</c:v>
                </c:pt>
                <c:pt idx="53">
                  <c:v>0.17136859204780677</c:v>
                </c:pt>
                <c:pt idx="54">
                  <c:v>0.14972746563574427</c:v>
                </c:pt>
                <c:pt idx="55">
                  <c:v>0.12951759566589116</c:v>
                </c:pt>
                <c:pt idx="56">
                  <c:v>0.11092083467945503</c:v>
                </c:pt>
                <c:pt idx="57">
                  <c:v>9.4049077376886434E-2</c:v>
                </c:pt>
                <c:pt idx="58">
                  <c:v>7.8950158300893719E-2</c:v>
                </c:pt>
                <c:pt idx="59">
                  <c:v>6.5615814774676193E-2</c:v>
                </c:pt>
                <c:pt idx="60">
                  <c:v>5.3990966513187716E-2</c:v>
                </c:pt>
                <c:pt idx="61">
                  <c:v>4.39835959804269E-2</c:v>
                </c:pt>
                <c:pt idx="62">
                  <c:v>3.5474592846231189E-2</c:v>
                </c:pt>
                <c:pt idx="63">
                  <c:v>2.8327037741600961E-2</c:v>
                </c:pt>
                <c:pt idx="64">
                  <c:v>2.2394530294842712E-2</c:v>
                </c:pt>
                <c:pt idx="65">
                  <c:v>1.7528300493568381E-2</c:v>
                </c:pt>
                <c:pt idx="66">
                  <c:v>1.3582969233685486E-2</c:v>
                </c:pt>
                <c:pt idx="67">
                  <c:v>1.0420934814422488E-2</c:v>
                </c:pt>
                <c:pt idx="68">
                  <c:v>7.9154515829798801E-3</c:v>
                </c:pt>
                <c:pt idx="69">
                  <c:v>5.9525324197757853E-3</c:v>
                </c:pt>
                <c:pt idx="70">
                  <c:v>4.4318484119379529E-3</c:v>
                </c:pt>
                <c:pt idx="71">
                  <c:v>3.2668190561998783E-3</c:v>
                </c:pt>
                <c:pt idx="72">
                  <c:v>2.3840882014648105E-3</c:v>
                </c:pt>
                <c:pt idx="73">
                  <c:v>1.7225689390536552E-3</c:v>
                </c:pt>
                <c:pt idx="74">
                  <c:v>1.2322191684730013E-3</c:v>
                </c:pt>
                <c:pt idx="75">
                  <c:v>8.7268269504574606E-4</c:v>
                </c:pt>
                <c:pt idx="76">
                  <c:v>6.1190193011376214E-4</c:v>
                </c:pt>
                <c:pt idx="77">
                  <c:v>4.2478027055074428E-4</c:v>
                </c:pt>
                <c:pt idx="78">
                  <c:v>2.9194692579145507E-4</c:v>
                </c:pt>
                <c:pt idx="79">
                  <c:v>1.9865547139276881E-4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251D-4789-AB10-A27CF18AC90B}"/>
            </c:ext>
          </c:extLst>
        </c:ser>
        <c:ser>
          <c:idx val="1"/>
          <c:order val="5"/>
          <c:spPr>
            <a:ln w="19050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xVal>
            <c:numRef>
              <c:f>Distributions!$B$94:$B$201</c:f>
              <c:numCache>
                <c:formatCode>0.000</c:formatCode>
                <c:ptCount val="108"/>
                <c:pt idx="0">
                  <c:v>-4</c:v>
                </c:pt>
                <c:pt idx="1">
                  <c:v>-3.9</c:v>
                </c:pt>
                <c:pt idx="2">
                  <c:v>-3.8</c:v>
                </c:pt>
                <c:pt idx="3">
                  <c:v>-3.6999999999999997</c:v>
                </c:pt>
                <c:pt idx="4">
                  <c:v>-3.5999999999999996</c:v>
                </c:pt>
                <c:pt idx="5">
                  <c:v>-3.4999999999999996</c:v>
                </c:pt>
                <c:pt idx="6">
                  <c:v>-3.3999999999999995</c:v>
                </c:pt>
                <c:pt idx="7">
                  <c:v>-3.2999999999999994</c:v>
                </c:pt>
                <c:pt idx="8">
                  <c:v>-3.1999999999999993</c:v>
                </c:pt>
                <c:pt idx="9">
                  <c:v>-3.0999999999999992</c:v>
                </c:pt>
                <c:pt idx="10">
                  <c:v>-2.9999999999999991</c:v>
                </c:pt>
                <c:pt idx="11">
                  <c:v>-2.899999999999999</c:v>
                </c:pt>
                <c:pt idx="12">
                  <c:v>-2.7999999999999989</c:v>
                </c:pt>
                <c:pt idx="13">
                  <c:v>-2.6999999999999988</c:v>
                </c:pt>
                <c:pt idx="14">
                  <c:v>-2.5999999999999988</c:v>
                </c:pt>
                <c:pt idx="15">
                  <c:v>-2.4999999999999987</c:v>
                </c:pt>
                <c:pt idx="16">
                  <c:v>-2.3999999999999986</c:v>
                </c:pt>
                <c:pt idx="17">
                  <c:v>-2.2999999999999985</c:v>
                </c:pt>
                <c:pt idx="18">
                  <c:v>-2.1999999999999984</c:v>
                </c:pt>
                <c:pt idx="19">
                  <c:v>-2.0999999999999983</c:v>
                </c:pt>
                <c:pt idx="20">
                  <c:v>-1.9999999999999982</c:v>
                </c:pt>
                <c:pt idx="21">
                  <c:v>-1.8999999999999981</c:v>
                </c:pt>
                <c:pt idx="22">
                  <c:v>-1.799999999999998</c:v>
                </c:pt>
                <c:pt idx="23">
                  <c:v>-1.699999999999998</c:v>
                </c:pt>
                <c:pt idx="24">
                  <c:v>-1.5999999999999979</c:v>
                </c:pt>
                <c:pt idx="25">
                  <c:v>-1.4999999999999978</c:v>
                </c:pt>
                <c:pt idx="26">
                  <c:v>-1.3999999999999977</c:v>
                </c:pt>
                <c:pt idx="27">
                  <c:v>-1.2999999999999976</c:v>
                </c:pt>
                <c:pt idx="28">
                  <c:v>-1.1999999999999975</c:v>
                </c:pt>
                <c:pt idx="29">
                  <c:v>-1.0999999999999974</c:v>
                </c:pt>
                <c:pt idx="30">
                  <c:v>-0.99999999999999745</c:v>
                </c:pt>
                <c:pt idx="31">
                  <c:v>-0.89999999999999747</c:v>
                </c:pt>
                <c:pt idx="32">
                  <c:v>-0.79999999999999749</c:v>
                </c:pt>
                <c:pt idx="33">
                  <c:v>-0.69999999999999751</c:v>
                </c:pt>
                <c:pt idx="34">
                  <c:v>-0.59999999999999754</c:v>
                </c:pt>
                <c:pt idx="35">
                  <c:v>-0.49999999999999756</c:v>
                </c:pt>
                <c:pt idx="36">
                  <c:v>-0.39999999999999758</c:v>
                </c:pt>
                <c:pt idx="37">
                  <c:v>-0.2999999999999976</c:v>
                </c:pt>
                <c:pt idx="38">
                  <c:v>-0.1999999999999976</c:v>
                </c:pt>
                <c:pt idx="39">
                  <c:v>-9.9999999999997591E-2</c:v>
                </c:pt>
                <c:pt idx="40">
                  <c:v>2.4147350785597155E-15</c:v>
                </c:pt>
                <c:pt idx="41">
                  <c:v>0.10000000000000242</c:v>
                </c:pt>
                <c:pt idx="42">
                  <c:v>0.20000000000000243</c:v>
                </c:pt>
                <c:pt idx="43">
                  <c:v>0.30000000000000243</c:v>
                </c:pt>
                <c:pt idx="44">
                  <c:v>0.40000000000000246</c:v>
                </c:pt>
                <c:pt idx="45">
                  <c:v>0.50000000000000244</c:v>
                </c:pt>
                <c:pt idx="46">
                  <c:v>0.60000000000000242</c:v>
                </c:pt>
                <c:pt idx="47">
                  <c:v>0.7000000000000024</c:v>
                </c:pt>
                <c:pt idx="48">
                  <c:v>0.80000000000000238</c:v>
                </c:pt>
                <c:pt idx="49">
                  <c:v>0.90000000000000235</c:v>
                </c:pt>
                <c:pt idx="50">
                  <c:v>1.0000000000000024</c:v>
                </c:pt>
                <c:pt idx="51">
                  <c:v>1.1000000000000025</c:v>
                </c:pt>
                <c:pt idx="52">
                  <c:v>1.2000000000000026</c:v>
                </c:pt>
                <c:pt idx="53">
                  <c:v>1.3000000000000027</c:v>
                </c:pt>
                <c:pt idx="54">
                  <c:v>1.4000000000000028</c:v>
                </c:pt>
                <c:pt idx="55">
                  <c:v>1.5000000000000029</c:v>
                </c:pt>
                <c:pt idx="56">
                  <c:v>1.600000000000003</c:v>
                </c:pt>
                <c:pt idx="57">
                  <c:v>1.7000000000000031</c:v>
                </c:pt>
                <c:pt idx="58">
                  <c:v>1.8000000000000032</c:v>
                </c:pt>
                <c:pt idx="59">
                  <c:v>1.9000000000000032</c:v>
                </c:pt>
                <c:pt idx="60">
                  <c:v>2.0000000000000031</c:v>
                </c:pt>
                <c:pt idx="61">
                  <c:v>2.1000000000000032</c:v>
                </c:pt>
                <c:pt idx="62">
                  <c:v>2.2000000000000033</c:v>
                </c:pt>
                <c:pt idx="63">
                  <c:v>2.3000000000000034</c:v>
                </c:pt>
                <c:pt idx="64">
                  <c:v>2.4000000000000035</c:v>
                </c:pt>
                <c:pt idx="65">
                  <c:v>2.5000000000000036</c:v>
                </c:pt>
                <c:pt idx="66">
                  <c:v>2.6000000000000036</c:v>
                </c:pt>
                <c:pt idx="67">
                  <c:v>2.7000000000000037</c:v>
                </c:pt>
                <c:pt idx="68">
                  <c:v>2.8000000000000038</c:v>
                </c:pt>
                <c:pt idx="69">
                  <c:v>2.9000000000000039</c:v>
                </c:pt>
                <c:pt idx="70">
                  <c:v>3.000000000000004</c:v>
                </c:pt>
                <c:pt idx="71">
                  <c:v>3.1000000000000041</c:v>
                </c:pt>
                <c:pt idx="72">
                  <c:v>3.2000000000000042</c:v>
                </c:pt>
                <c:pt idx="73">
                  <c:v>3.3000000000000043</c:v>
                </c:pt>
                <c:pt idx="74">
                  <c:v>3.4000000000000044</c:v>
                </c:pt>
                <c:pt idx="75">
                  <c:v>3.5000000000000044</c:v>
                </c:pt>
                <c:pt idx="76">
                  <c:v>3.6000000000000045</c:v>
                </c:pt>
                <c:pt idx="77">
                  <c:v>3.7000000000000046</c:v>
                </c:pt>
                <c:pt idx="78">
                  <c:v>3.8000000000000047</c:v>
                </c:pt>
                <c:pt idx="79">
                  <c:v>3.9000000000000048</c:v>
                </c:pt>
              </c:numCache>
            </c:numRef>
          </c:xVal>
          <c:yVal>
            <c:numRef>
              <c:f>Distributions!$D$94:$D$201</c:f>
              <c:numCache>
                <c:formatCode>0.000</c:formatCode>
                <c:ptCount val="108"/>
                <c:pt idx="0">
                  <c:v>1.0104542167073785E-14</c:v>
                </c:pt>
                <c:pt idx="1">
                  <c:v>4.9057105713928647E-14</c:v>
                </c:pt>
                <c:pt idx="2">
                  <c:v>2.2883129803602739E-13</c:v>
                </c:pt>
                <c:pt idx="3">
                  <c:v>1.0255507273593399E-12</c:v>
                </c:pt>
                <c:pt idx="4">
                  <c:v>4.41597992627431E-12</c:v>
                </c:pt>
                <c:pt idx="5">
                  <c:v>1.8269440816729317E-11</c:v>
                </c:pt>
                <c:pt idx="6">
                  <c:v>7.2619230035836267E-11</c:v>
                </c:pt>
                <c:pt idx="7">
                  <c:v>2.7733599883306541E-10</c:v>
                </c:pt>
                <c:pt idx="8">
                  <c:v>1.017628056329022E-9</c:v>
                </c:pt>
                <c:pt idx="9">
                  <c:v>3.5875678159281973E-9</c:v>
                </c:pt>
                <c:pt idx="10">
                  <c:v>1.2151765699646701E-8</c:v>
                </c:pt>
                <c:pt idx="11">
                  <c:v>3.9546392812489761E-8</c:v>
                </c:pt>
                <c:pt idx="12">
                  <c:v>1.2365241000331844E-7</c:v>
                </c:pt>
                <c:pt idx="13">
                  <c:v>3.7147236891106323E-7</c:v>
                </c:pt>
                <c:pt idx="14">
                  <c:v>1.0722070689395379E-6</c:v>
                </c:pt>
                <c:pt idx="15">
                  <c:v>2.9734390294686377E-6</c:v>
                </c:pt>
                <c:pt idx="16">
                  <c:v>7.9225981820642489E-6</c:v>
                </c:pt>
                <c:pt idx="17">
                  <c:v>2.0281704130973771E-5</c:v>
                </c:pt>
                <c:pt idx="18">
                  <c:v>4.988494258010787E-5</c:v>
                </c:pt>
                <c:pt idx="19">
                  <c:v>1.1788613551308139E-4</c:v>
                </c:pt>
                <c:pt idx="20">
                  <c:v>2.6766045152977453E-4</c:v>
                </c:pt>
                <c:pt idx="21">
                  <c:v>5.8389385158292889E-4</c:v>
                </c:pt>
                <c:pt idx="22">
                  <c:v>1.2238038602275614E-3</c:v>
                </c:pt>
                <c:pt idx="23">
                  <c:v>2.4644383369460728E-3</c:v>
                </c:pt>
                <c:pt idx="24">
                  <c:v>4.7681764029297484E-3</c:v>
                </c:pt>
                <c:pt idx="25">
                  <c:v>8.863696823876133E-3</c:v>
                </c:pt>
                <c:pt idx="26">
                  <c:v>1.5830903165960131E-2</c:v>
                </c:pt>
                <c:pt idx="27">
                  <c:v>2.7165938467371576E-2</c:v>
                </c:pt>
                <c:pt idx="28">
                  <c:v>4.4789060589686333E-2</c:v>
                </c:pt>
                <c:pt idx="29">
                  <c:v>7.0949185692463668E-2</c:v>
                </c:pt>
                <c:pt idx="30">
                  <c:v>0.10798193302637721</c:v>
                </c:pt>
                <c:pt idx="31">
                  <c:v>0.1579003166017898</c:v>
                </c:pt>
                <c:pt idx="32">
                  <c:v>0.22184166935891292</c:v>
                </c:pt>
                <c:pt idx="33">
                  <c:v>0.29945493127149181</c:v>
                </c:pt>
                <c:pt idx="34">
                  <c:v>0.38837210996642818</c:v>
                </c:pt>
                <c:pt idx="35">
                  <c:v>0.48394144903828912</c:v>
                </c:pt>
                <c:pt idx="36">
                  <c:v>0.57938310552296779</c:v>
                </c:pt>
                <c:pt idx="37">
                  <c:v>0.66644920578360123</c:v>
                </c:pt>
                <c:pt idx="38">
                  <c:v>0.73654028060664811</c:v>
                </c:pt>
                <c:pt idx="39">
                  <c:v>0.78208538795091254</c:v>
                </c:pt>
                <c:pt idx="40">
                  <c:v>0.79788456080286541</c:v>
                </c:pt>
                <c:pt idx="41">
                  <c:v>0.78208538795091109</c:v>
                </c:pt>
                <c:pt idx="42">
                  <c:v>0.73654028060664523</c:v>
                </c:pt>
                <c:pt idx="43">
                  <c:v>0.66644920578359734</c:v>
                </c:pt>
                <c:pt idx="44">
                  <c:v>0.57938310552296324</c:v>
                </c:pt>
                <c:pt idx="45">
                  <c:v>0.48394144903828434</c:v>
                </c:pt>
                <c:pt idx="46">
                  <c:v>0.38837210996642363</c:v>
                </c:pt>
                <c:pt idx="47">
                  <c:v>0.2994549312714877</c:v>
                </c:pt>
                <c:pt idx="48">
                  <c:v>0.22184166935890945</c:v>
                </c:pt>
                <c:pt idx="49">
                  <c:v>0.15790031660178697</c:v>
                </c:pt>
                <c:pt idx="50">
                  <c:v>0.10798193302637506</c:v>
                </c:pt>
                <c:pt idx="51">
                  <c:v>7.0949185692462099E-2</c:v>
                </c:pt>
                <c:pt idx="52">
                  <c:v>4.4789060589685223E-2</c:v>
                </c:pt>
                <c:pt idx="53">
                  <c:v>2.7165938467370851E-2</c:v>
                </c:pt>
                <c:pt idx="54">
                  <c:v>1.583090316595968E-2</c:v>
                </c:pt>
                <c:pt idx="55">
                  <c:v>8.8636968238758572E-3</c:v>
                </c:pt>
                <c:pt idx="56">
                  <c:v>4.7681764029295966E-3</c:v>
                </c:pt>
                <c:pt idx="57">
                  <c:v>2.464438336945987E-3</c:v>
                </c:pt>
                <c:pt idx="58">
                  <c:v>1.2238038602275167E-3</c:v>
                </c:pt>
                <c:pt idx="59">
                  <c:v>5.8389385158290601E-4</c:v>
                </c:pt>
                <c:pt idx="60">
                  <c:v>2.6766045152976407E-4</c:v>
                </c:pt>
                <c:pt idx="61">
                  <c:v>1.1788613551307657E-4</c:v>
                </c:pt>
                <c:pt idx="62">
                  <c:v>4.9884942580105736E-5</c:v>
                </c:pt>
                <c:pt idx="63">
                  <c:v>2.028170413097287E-5</c:v>
                </c:pt>
                <c:pt idx="64">
                  <c:v>7.9225981820638829E-6</c:v>
                </c:pt>
                <c:pt idx="65">
                  <c:v>2.9734390294684903E-6</c:v>
                </c:pt>
                <c:pt idx="66">
                  <c:v>1.0722070689394829E-6</c:v>
                </c:pt>
                <c:pt idx="67">
                  <c:v>3.7147236891104343E-7</c:v>
                </c:pt>
                <c:pt idx="68">
                  <c:v>1.2365241000331164E-7</c:v>
                </c:pt>
                <c:pt idx="69">
                  <c:v>3.9546392812487517E-8</c:v>
                </c:pt>
                <c:pt idx="70">
                  <c:v>1.2151765699645968E-8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251D-4789-AB10-A27CF18AC90B}"/>
            </c:ext>
          </c:extLst>
        </c:ser>
        <c:ser>
          <c:idx val="2"/>
          <c:order val="6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Distributions!$B$94:$B$201</c:f>
              <c:numCache>
                <c:formatCode>0.000</c:formatCode>
                <c:ptCount val="108"/>
                <c:pt idx="0">
                  <c:v>-4</c:v>
                </c:pt>
                <c:pt idx="1">
                  <c:v>-3.9</c:v>
                </c:pt>
                <c:pt idx="2">
                  <c:v>-3.8</c:v>
                </c:pt>
                <c:pt idx="3">
                  <c:v>-3.6999999999999997</c:v>
                </c:pt>
                <c:pt idx="4">
                  <c:v>-3.5999999999999996</c:v>
                </c:pt>
                <c:pt idx="5">
                  <c:v>-3.4999999999999996</c:v>
                </c:pt>
                <c:pt idx="6">
                  <c:v>-3.3999999999999995</c:v>
                </c:pt>
                <c:pt idx="7">
                  <c:v>-3.2999999999999994</c:v>
                </c:pt>
                <c:pt idx="8">
                  <c:v>-3.1999999999999993</c:v>
                </c:pt>
                <c:pt idx="9">
                  <c:v>-3.0999999999999992</c:v>
                </c:pt>
                <c:pt idx="10">
                  <c:v>-2.9999999999999991</c:v>
                </c:pt>
                <c:pt idx="11">
                  <c:v>-2.899999999999999</c:v>
                </c:pt>
                <c:pt idx="12">
                  <c:v>-2.7999999999999989</c:v>
                </c:pt>
                <c:pt idx="13">
                  <c:v>-2.6999999999999988</c:v>
                </c:pt>
                <c:pt idx="14">
                  <c:v>-2.5999999999999988</c:v>
                </c:pt>
                <c:pt idx="15">
                  <c:v>-2.4999999999999987</c:v>
                </c:pt>
                <c:pt idx="16">
                  <c:v>-2.3999999999999986</c:v>
                </c:pt>
                <c:pt idx="17">
                  <c:v>-2.2999999999999985</c:v>
                </c:pt>
                <c:pt idx="18">
                  <c:v>-2.1999999999999984</c:v>
                </c:pt>
                <c:pt idx="19">
                  <c:v>-2.0999999999999983</c:v>
                </c:pt>
                <c:pt idx="20">
                  <c:v>-1.9999999999999982</c:v>
                </c:pt>
                <c:pt idx="21">
                  <c:v>-1.8999999999999981</c:v>
                </c:pt>
                <c:pt idx="22">
                  <c:v>-1.799999999999998</c:v>
                </c:pt>
                <c:pt idx="23">
                  <c:v>-1.699999999999998</c:v>
                </c:pt>
                <c:pt idx="24">
                  <c:v>-1.5999999999999979</c:v>
                </c:pt>
                <c:pt idx="25">
                  <c:v>-1.4999999999999978</c:v>
                </c:pt>
                <c:pt idx="26">
                  <c:v>-1.3999999999999977</c:v>
                </c:pt>
                <c:pt idx="27">
                  <c:v>-1.2999999999999976</c:v>
                </c:pt>
                <c:pt idx="28">
                  <c:v>-1.1999999999999975</c:v>
                </c:pt>
                <c:pt idx="29">
                  <c:v>-1.0999999999999974</c:v>
                </c:pt>
                <c:pt idx="30">
                  <c:v>-0.99999999999999745</c:v>
                </c:pt>
                <c:pt idx="31">
                  <c:v>-0.89999999999999747</c:v>
                </c:pt>
                <c:pt idx="32">
                  <c:v>-0.79999999999999749</c:v>
                </c:pt>
                <c:pt idx="33">
                  <c:v>-0.69999999999999751</c:v>
                </c:pt>
                <c:pt idx="34">
                  <c:v>-0.59999999999999754</c:v>
                </c:pt>
                <c:pt idx="35">
                  <c:v>-0.49999999999999756</c:v>
                </c:pt>
                <c:pt idx="36">
                  <c:v>-0.39999999999999758</c:v>
                </c:pt>
                <c:pt idx="37">
                  <c:v>-0.2999999999999976</c:v>
                </c:pt>
                <c:pt idx="38">
                  <c:v>-0.1999999999999976</c:v>
                </c:pt>
                <c:pt idx="39">
                  <c:v>-9.9999999999997591E-2</c:v>
                </c:pt>
                <c:pt idx="40">
                  <c:v>2.4147350785597155E-15</c:v>
                </c:pt>
                <c:pt idx="41">
                  <c:v>0.10000000000000242</c:v>
                </c:pt>
                <c:pt idx="42">
                  <c:v>0.20000000000000243</c:v>
                </c:pt>
                <c:pt idx="43">
                  <c:v>0.30000000000000243</c:v>
                </c:pt>
                <c:pt idx="44">
                  <c:v>0.40000000000000246</c:v>
                </c:pt>
                <c:pt idx="45">
                  <c:v>0.50000000000000244</c:v>
                </c:pt>
                <c:pt idx="46">
                  <c:v>0.60000000000000242</c:v>
                </c:pt>
                <c:pt idx="47">
                  <c:v>0.7000000000000024</c:v>
                </c:pt>
                <c:pt idx="48">
                  <c:v>0.80000000000000238</c:v>
                </c:pt>
                <c:pt idx="49">
                  <c:v>0.90000000000000235</c:v>
                </c:pt>
                <c:pt idx="50">
                  <c:v>1.0000000000000024</c:v>
                </c:pt>
                <c:pt idx="51">
                  <c:v>1.1000000000000025</c:v>
                </c:pt>
                <c:pt idx="52">
                  <c:v>1.2000000000000026</c:v>
                </c:pt>
                <c:pt idx="53">
                  <c:v>1.3000000000000027</c:v>
                </c:pt>
                <c:pt idx="54">
                  <c:v>1.4000000000000028</c:v>
                </c:pt>
                <c:pt idx="55">
                  <c:v>1.5000000000000029</c:v>
                </c:pt>
                <c:pt idx="56">
                  <c:v>1.600000000000003</c:v>
                </c:pt>
                <c:pt idx="57">
                  <c:v>1.7000000000000031</c:v>
                </c:pt>
                <c:pt idx="58">
                  <c:v>1.8000000000000032</c:v>
                </c:pt>
                <c:pt idx="59">
                  <c:v>1.9000000000000032</c:v>
                </c:pt>
                <c:pt idx="60">
                  <c:v>2.0000000000000031</c:v>
                </c:pt>
                <c:pt idx="61">
                  <c:v>2.1000000000000032</c:v>
                </c:pt>
                <c:pt idx="62">
                  <c:v>2.2000000000000033</c:v>
                </c:pt>
                <c:pt idx="63">
                  <c:v>2.3000000000000034</c:v>
                </c:pt>
                <c:pt idx="64">
                  <c:v>2.4000000000000035</c:v>
                </c:pt>
                <c:pt idx="65">
                  <c:v>2.5000000000000036</c:v>
                </c:pt>
                <c:pt idx="66">
                  <c:v>2.6000000000000036</c:v>
                </c:pt>
                <c:pt idx="67">
                  <c:v>2.7000000000000037</c:v>
                </c:pt>
                <c:pt idx="68">
                  <c:v>2.8000000000000038</c:v>
                </c:pt>
                <c:pt idx="69">
                  <c:v>2.9000000000000039</c:v>
                </c:pt>
                <c:pt idx="70">
                  <c:v>3.000000000000004</c:v>
                </c:pt>
                <c:pt idx="71">
                  <c:v>3.1000000000000041</c:v>
                </c:pt>
                <c:pt idx="72">
                  <c:v>3.2000000000000042</c:v>
                </c:pt>
                <c:pt idx="73">
                  <c:v>3.3000000000000043</c:v>
                </c:pt>
                <c:pt idx="74">
                  <c:v>3.4000000000000044</c:v>
                </c:pt>
                <c:pt idx="75">
                  <c:v>3.5000000000000044</c:v>
                </c:pt>
                <c:pt idx="76">
                  <c:v>3.6000000000000045</c:v>
                </c:pt>
                <c:pt idx="77">
                  <c:v>3.7000000000000046</c:v>
                </c:pt>
                <c:pt idx="78">
                  <c:v>3.8000000000000047</c:v>
                </c:pt>
                <c:pt idx="79">
                  <c:v>3.9000000000000048</c:v>
                </c:pt>
              </c:numCache>
            </c:numRef>
          </c:xVal>
          <c:yVal>
            <c:numRef>
              <c:f>Distributions!$E$94:$E$201</c:f>
              <c:numCache>
                <c:formatCode>0.000</c:formatCode>
                <c:ptCount val="108"/>
                <c:pt idx="34">
                  <c:v>1.358296923368571E-2</c:v>
                </c:pt>
                <c:pt idx="35">
                  <c:v>1.7528300493568655E-2</c:v>
                </c:pt>
                <c:pt idx="36">
                  <c:v>2.2394530294843017E-2</c:v>
                </c:pt>
                <c:pt idx="37">
                  <c:v>2.8327037741601325E-2</c:v>
                </c:pt>
                <c:pt idx="38">
                  <c:v>3.5474592846231626E-2</c:v>
                </c:pt>
                <c:pt idx="39">
                  <c:v>4.3983595980427427E-2</c:v>
                </c:pt>
                <c:pt idx="40">
                  <c:v>5.3990966513188313E-2</c:v>
                </c:pt>
                <c:pt idx="41">
                  <c:v>6.5615814774676873E-2</c:v>
                </c:pt>
                <c:pt idx="42">
                  <c:v>7.895015830089451E-2</c:v>
                </c:pt>
                <c:pt idx="43">
                  <c:v>9.4049077376887322E-2</c:v>
                </c:pt>
                <c:pt idx="44">
                  <c:v>0.11092083467945603</c:v>
                </c:pt>
                <c:pt idx="45">
                  <c:v>0.12951759566589222</c:v>
                </c:pt>
                <c:pt idx="46">
                  <c:v>0.14972746563574535</c:v>
                </c:pt>
                <c:pt idx="47">
                  <c:v>0.17136859204780791</c:v>
                </c:pt>
                <c:pt idx="48">
                  <c:v>0.19418605498321354</c:v>
                </c:pt>
                <c:pt idx="49">
                  <c:v>0.21785217703255111</c:v>
                </c:pt>
                <c:pt idx="50">
                  <c:v>0.24197072451914395</c:v>
                </c:pt>
                <c:pt idx="51">
                  <c:v>0.26608524989875543</c:v>
                </c:pt>
                <c:pt idx="52">
                  <c:v>0.2896915527614834</c:v>
                </c:pt>
                <c:pt idx="53">
                  <c:v>0.31225393336676188</c:v>
                </c:pt>
                <c:pt idx="54">
                  <c:v>0.33322460289180023</c:v>
                </c:pt>
                <c:pt idx="55">
                  <c:v>0.35206532676430002</c:v>
                </c:pt>
                <c:pt idx="56">
                  <c:v>0.36827014030332378</c:v>
                </c:pt>
                <c:pt idx="57">
                  <c:v>0.38138781546052442</c:v>
                </c:pt>
                <c:pt idx="58">
                  <c:v>0.39104269397545616</c:v>
                </c:pt>
                <c:pt idx="59">
                  <c:v>0.39695254747701192</c:v>
                </c:pt>
                <c:pt idx="60">
                  <c:v>0.3989422804014327</c:v>
                </c:pt>
                <c:pt idx="61">
                  <c:v>0.39695254747701164</c:v>
                </c:pt>
                <c:pt idx="62">
                  <c:v>0.39104269397545566</c:v>
                </c:pt>
                <c:pt idx="63">
                  <c:v>0.38138781546052375</c:v>
                </c:pt>
                <c:pt idx="64">
                  <c:v>0.36827014030332283</c:v>
                </c:pt>
                <c:pt idx="65">
                  <c:v>0.35206532676429886</c:v>
                </c:pt>
                <c:pt idx="66">
                  <c:v>0.33322460289179895</c:v>
                </c:pt>
                <c:pt idx="67">
                  <c:v>0.31225393336676049</c:v>
                </c:pt>
                <c:pt idx="68">
                  <c:v>0.2896915527614819</c:v>
                </c:pt>
                <c:pt idx="69">
                  <c:v>0.26608524989875387</c:v>
                </c:pt>
                <c:pt idx="70">
                  <c:v>0.24197072451914239</c:v>
                </c:pt>
                <c:pt idx="71">
                  <c:v>0.21785217703254955</c:v>
                </c:pt>
                <c:pt idx="72">
                  <c:v>0.19418605498321198</c:v>
                </c:pt>
                <c:pt idx="73">
                  <c:v>0.17136859204780641</c:v>
                </c:pt>
                <c:pt idx="74">
                  <c:v>0.14972746563574393</c:v>
                </c:pt>
                <c:pt idx="75">
                  <c:v>0.12951759566589088</c:v>
                </c:pt>
                <c:pt idx="76">
                  <c:v>0.11092083467945475</c:v>
                </c:pt>
                <c:pt idx="77">
                  <c:v>9.4049077376886198E-2</c:v>
                </c:pt>
                <c:pt idx="78">
                  <c:v>7.8950158300893483E-2</c:v>
                </c:pt>
                <c:pt idx="79">
                  <c:v>6.5615814774675998E-2</c:v>
                </c:pt>
                <c:pt idx="80">
                  <c:v>5.3990966513188063E-2</c:v>
                </c:pt>
                <c:pt idx="81">
                  <c:v>5.3990966513188063E-2</c:v>
                </c:pt>
                <c:pt idx="82">
                  <c:v>5.3990966513188063E-2</c:v>
                </c:pt>
                <c:pt idx="83">
                  <c:v>5.3990966513188063E-2</c:v>
                </c:pt>
                <c:pt idx="84">
                  <c:v>5.3990966513188063E-2</c:v>
                </c:pt>
                <c:pt idx="85">
                  <c:v>5.3990966513188063E-2</c:v>
                </c:pt>
                <c:pt idx="86">
                  <c:v>5.3990966513188063E-2</c:v>
                </c:pt>
                <c:pt idx="87">
                  <c:v>5.3990966513188063E-2</c:v>
                </c:pt>
                <c:pt idx="88">
                  <c:v>5.3990966513188063E-2</c:v>
                </c:pt>
                <c:pt idx="89">
                  <c:v>5.3990966513188063E-2</c:v>
                </c:pt>
                <c:pt idx="90">
                  <c:v>5.3990966513188063E-2</c:v>
                </c:pt>
                <c:pt idx="91">
                  <c:v>5.3990966513188063E-2</c:v>
                </c:pt>
                <c:pt idx="92">
                  <c:v>5.3990966513188063E-2</c:v>
                </c:pt>
                <c:pt idx="93">
                  <c:v>5.3990966513188063E-2</c:v>
                </c:pt>
                <c:pt idx="94">
                  <c:v>5.3990966513188063E-2</c:v>
                </c:pt>
                <c:pt idx="95">
                  <c:v>5.3990966513188063E-2</c:v>
                </c:pt>
                <c:pt idx="96">
                  <c:v>5.3990966513188063E-2</c:v>
                </c:pt>
                <c:pt idx="97">
                  <c:v>5.3990966513188063E-2</c:v>
                </c:pt>
                <c:pt idx="98">
                  <c:v>5.3990966513188063E-2</c:v>
                </c:pt>
                <c:pt idx="99">
                  <c:v>5.3990966513188063E-2</c:v>
                </c:pt>
                <c:pt idx="100">
                  <c:v>5.3990966513188063E-2</c:v>
                </c:pt>
                <c:pt idx="101">
                  <c:v>5.3990966513188063E-2</c:v>
                </c:pt>
                <c:pt idx="102">
                  <c:v>5.3990966513188063E-2</c:v>
                </c:pt>
                <c:pt idx="103">
                  <c:v>5.3990966513188063E-2</c:v>
                </c:pt>
                <c:pt idx="104">
                  <c:v>5.3990966513188063E-2</c:v>
                </c:pt>
                <c:pt idx="105">
                  <c:v>5.3990966513188063E-2</c:v>
                </c:pt>
                <c:pt idx="106">
                  <c:v>5.3990966513188063E-2</c:v>
                </c:pt>
                <c:pt idx="107">
                  <c:v>5.3990966513188063E-2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251D-4789-AB10-A27CF18AC90B}"/>
            </c:ext>
          </c:extLst>
        </c:ser>
        <c:ser>
          <c:idx val="3"/>
          <c:order val="7"/>
          <c:spPr>
            <a:ln w="19050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xVal>
            <c:numRef>
              <c:f>Distributions!$B$94:$B$201</c:f>
              <c:numCache>
                <c:formatCode>0.000</c:formatCode>
                <c:ptCount val="108"/>
                <c:pt idx="0">
                  <c:v>-4</c:v>
                </c:pt>
                <c:pt idx="1">
                  <c:v>-3.9</c:v>
                </c:pt>
                <c:pt idx="2">
                  <c:v>-3.8</c:v>
                </c:pt>
                <c:pt idx="3">
                  <c:v>-3.6999999999999997</c:v>
                </c:pt>
                <c:pt idx="4">
                  <c:v>-3.5999999999999996</c:v>
                </c:pt>
                <c:pt idx="5">
                  <c:v>-3.4999999999999996</c:v>
                </c:pt>
                <c:pt idx="6">
                  <c:v>-3.3999999999999995</c:v>
                </c:pt>
                <c:pt idx="7">
                  <c:v>-3.2999999999999994</c:v>
                </c:pt>
                <c:pt idx="8">
                  <c:v>-3.1999999999999993</c:v>
                </c:pt>
                <c:pt idx="9">
                  <c:v>-3.0999999999999992</c:v>
                </c:pt>
                <c:pt idx="10">
                  <c:v>-2.9999999999999991</c:v>
                </c:pt>
                <c:pt idx="11">
                  <c:v>-2.899999999999999</c:v>
                </c:pt>
                <c:pt idx="12">
                  <c:v>-2.7999999999999989</c:v>
                </c:pt>
                <c:pt idx="13">
                  <c:v>-2.6999999999999988</c:v>
                </c:pt>
                <c:pt idx="14">
                  <c:v>-2.5999999999999988</c:v>
                </c:pt>
                <c:pt idx="15">
                  <c:v>-2.4999999999999987</c:v>
                </c:pt>
                <c:pt idx="16">
                  <c:v>-2.3999999999999986</c:v>
                </c:pt>
                <c:pt idx="17">
                  <c:v>-2.2999999999999985</c:v>
                </c:pt>
                <c:pt idx="18">
                  <c:v>-2.1999999999999984</c:v>
                </c:pt>
                <c:pt idx="19">
                  <c:v>-2.0999999999999983</c:v>
                </c:pt>
                <c:pt idx="20">
                  <c:v>-1.9999999999999982</c:v>
                </c:pt>
                <c:pt idx="21">
                  <c:v>-1.8999999999999981</c:v>
                </c:pt>
                <c:pt idx="22">
                  <c:v>-1.799999999999998</c:v>
                </c:pt>
                <c:pt idx="23">
                  <c:v>-1.699999999999998</c:v>
                </c:pt>
                <c:pt idx="24">
                  <c:v>-1.5999999999999979</c:v>
                </c:pt>
                <c:pt idx="25">
                  <c:v>-1.4999999999999978</c:v>
                </c:pt>
                <c:pt idx="26">
                  <c:v>-1.3999999999999977</c:v>
                </c:pt>
                <c:pt idx="27">
                  <c:v>-1.2999999999999976</c:v>
                </c:pt>
                <c:pt idx="28">
                  <c:v>-1.1999999999999975</c:v>
                </c:pt>
                <c:pt idx="29">
                  <c:v>-1.0999999999999974</c:v>
                </c:pt>
                <c:pt idx="30">
                  <c:v>-0.99999999999999745</c:v>
                </c:pt>
                <c:pt idx="31">
                  <c:v>-0.89999999999999747</c:v>
                </c:pt>
                <c:pt idx="32">
                  <c:v>-0.79999999999999749</c:v>
                </c:pt>
                <c:pt idx="33">
                  <c:v>-0.69999999999999751</c:v>
                </c:pt>
                <c:pt idx="34">
                  <c:v>-0.59999999999999754</c:v>
                </c:pt>
                <c:pt idx="35">
                  <c:v>-0.49999999999999756</c:v>
                </c:pt>
                <c:pt idx="36">
                  <c:v>-0.39999999999999758</c:v>
                </c:pt>
                <c:pt idx="37">
                  <c:v>-0.2999999999999976</c:v>
                </c:pt>
                <c:pt idx="38">
                  <c:v>-0.1999999999999976</c:v>
                </c:pt>
                <c:pt idx="39">
                  <c:v>-9.9999999999997591E-2</c:v>
                </c:pt>
                <c:pt idx="40">
                  <c:v>2.4147350785597155E-15</c:v>
                </c:pt>
                <c:pt idx="41">
                  <c:v>0.10000000000000242</c:v>
                </c:pt>
                <c:pt idx="42">
                  <c:v>0.20000000000000243</c:v>
                </c:pt>
                <c:pt idx="43">
                  <c:v>0.30000000000000243</c:v>
                </c:pt>
                <c:pt idx="44">
                  <c:v>0.40000000000000246</c:v>
                </c:pt>
                <c:pt idx="45">
                  <c:v>0.50000000000000244</c:v>
                </c:pt>
                <c:pt idx="46">
                  <c:v>0.60000000000000242</c:v>
                </c:pt>
                <c:pt idx="47">
                  <c:v>0.7000000000000024</c:v>
                </c:pt>
                <c:pt idx="48">
                  <c:v>0.80000000000000238</c:v>
                </c:pt>
                <c:pt idx="49">
                  <c:v>0.90000000000000235</c:v>
                </c:pt>
                <c:pt idx="50">
                  <c:v>1.0000000000000024</c:v>
                </c:pt>
                <c:pt idx="51">
                  <c:v>1.1000000000000025</c:v>
                </c:pt>
                <c:pt idx="52">
                  <c:v>1.2000000000000026</c:v>
                </c:pt>
                <c:pt idx="53">
                  <c:v>1.3000000000000027</c:v>
                </c:pt>
                <c:pt idx="54">
                  <c:v>1.4000000000000028</c:v>
                </c:pt>
                <c:pt idx="55">
                  <c:v>1.5000000000000029</c:v>
                </c:pt>
                <c:pt idx="56">
                  <c:v>1.600000000000003</c:v>
                </c:pt>
                <c:pt idx="57">
                  <c:v>1.7000000000000031</c:v>
                </c:pt>
                <c:pt idx="58">
                  <c:v>1.8000000000000032</c:v>
                </c:pt>
                <c:pt idx="59">
                  <c:v>1.9000000000000032</c:v>
                </c:pt>
                <c:pt idx="60">
                  <c:v>2.0000000000000031</c:v>
                </c:pt>
                <c:pt idx="61">
                  <c:v>2.1000000000000032</c:v>
                </c:pt>
                <c:pt idx="62">
                  <c:v>2.2000000000000033</c:v>
                </c:pt>
                <c:pt idx="63">
                  <c:v>2.3000000000000034</c:v>
                </c:pt>
                <c:pt idx="64">
                  <c:v>2.4000000000000035</c:v>
                </c:pt>
                <c:pt idx="65">
                  <c:v>2.5000000000000036</c:v>
                </c:pt>
                <c:pt idx="66">
                  <c:v>2.6000000000000036</c:v>
                </c:pt>
                <c:pt idx="67">
                  <c:v>2.7000000000000037</c:v>
                </c:pt>
                <c:pt idx="68">
                  <c:v>2.8000000000000038</c:v>
                </c:pt>
                <c:pt idx="69">
                  <c:v>2.9000000000000039</c:v>
                </c:pt>
                <c:pt idx="70">
                  <c:v>3.000000000000004</c:v>
                </c:pt>
                <c:pt idx="71">
                  <c:v>3.1000000000000041</c:v>
                </c:pt>
                <c:pt idx="72">
                  <c:v>3.2000000000000042</c:v>
                </c:pt>
                <c:pt idx="73">
                  <c:v>3.3000000000000043</c:v>
                </c:pt>
                <c:pt idx="74">
                  <c:v>3.4000000000000044</c:v>
                </c:pt>
                <c:pt idx="75">
                  <c:v>3.5000000000000044</c:v>
                </c:pt>
                <c:pt idx="76">
                  <c:v>3.6000000000000045</c:v>
                </c:pt>
                <c:pt idx="77">
                  <c:v>3.7000000000000046</c:v>
                </c:pt>
                <c:pt idx="78">
                  <c:v>3.8000000000000047</c:v>
                </c:pt>
                <c:pt idx="79">
                  <c:v>3.9000000000000048</c:v>
                </c:pt>
              </c:numCache>
            </c:numRef>
          </c:xVal>
          <c:yVal>
            <c:numRef>
              <c:f>Distributions!$F$94:$F$201</c:f>
              <c:numCache>
                <c:formatCode>0.000</c:formatCode>
                <c:ptCount val="108"/>
                <c:pt idx="0">
                  <c:v>2.6995483256594031E-2</c:v>
                </c:pt>
                <c:pt idx="1">
                  <c:v>2.9797353034408038E-2</c:v>
                </c:pt>
                <c:pt idx="2">
                  <c:v>3.2807907387338298E-2</c:v>
                </c:pt>
                <c:pt idx="3">
                  <c:v>3.6032437168109013E-2</c:v>
                </c:pt>
                <c:pt idx="4">
                  <c:v>3.9475079150447089E-2</c:v>
                </c:pt>
                <c:pt idx="5">
                  <c:v>4.313865941325578E-2</c:v>
                </c:pt>
                <c:pt idx="6">
                  <c:v>4.7024538688443487E-2</c:v>
                </c:pt>
                <c:pt idx="7">
                  <c:v>5.113246228198904E-2</c:v>
                </c:pt>
                <c:pt idx="8">
                  <c:v>5.5460417339727813E-2</c:v>
                </c:pt>
                <c:pt idx="9">
                  <c:v>6.0004500348492834E-2</c:v>
                </c:pt>
                <c:pt idx="10">
                  <c:v>6.4758797832945914E-2</c:v>
                </c:pt>
                <c:pt idx="11">
                  <c:v>6.9715283222680183E-2</c:v>
                </c:pt>
                <c:pt idx="12">
                  <c:v>7.4863732817872494E-2</c:v>
                </c:pt>
                <c:pt idx="13">
                  <c:v>8.0191663670959867E-2</c:v>
                </c:pt>
                <c:pt idx="14">
                  <c:v>8.5684296023903747E-2</c:v>
                </c:pt>
                <c:pt idx="15">
                  <c:v>9.1324542694511041E-2</c:v>
                </c:pt>
                <c:pt idx="16">
                  <c:v>9.7093027491606559E-2</c:v>
                </c:pt>
                <c:pt idx="17">
                  <c:v>0.10296813435998747</c:v>
                </c:pt>
                <c:pt idx="18">
                  <c:v>0.10892608851627537</c:v>
                </c:pt>
                <c:pt idx="19">
                  <c:v>0.11494107034211662</c:v>
                </c:pt>
                <c:pt idx="20">
                  <c:v>0.12098536225957179</c:v>
                </c:pt>
                <c:pt idx="21">
                  <c:v>0.12702952823459462</c:v>
                </c:pt>
                <c:pt idx="22">
                  <c:v>0.13304262494937752</c:v>
                </c:pt>
                <c:pt idx="23">
                  <c:v>0.13899244306549835</c:v>
                </c:pt>
                <c:pt idx="24">
                  <c:v>0.1448457763807415</c:v>
                </c:pt>
                <c:pt idx="25">
                  <c:v>0.15056871607740235</c:v>
                </c:pt>
                <c:pt idx="26">
                  <c:v>0.15612696668338077</c:v>
                </c:pt>
                <c:pt idx="27">
                  <c:v>0.16148617983395727</c:v>
                </c:pt>
                <c:pt idx="28">
                  <c:v>0.16661230144589995</c:v>
                </c:pt>
                <c:pt idx="29">
                  <c:v>0.17147192750969206</c:v>
                </c:pt>
                <c:pt idx="30">
                  <c:v>0.17603266338214987</c:v>
                </c:pt>
                <c:pt idx="31">
                  <c:v>0.18026348123082409</c:v>
                </c:pt>
                <c:pt idx="32">
                  <c:v>0.18413507015166175</c:v>
                </c:pt>
                <c:pt idx="33">
                  <c:v>0.18762017345846904</c:v>
                </c:pt>
                <c:pt idx="34">
                  <c:v>0.19069390773026212</c:v>
                </c:pt>
                <c:pt idx="35">
                  <c:v>0.19333405840142467</c:v>
                </c:pt>
                <c:pt idx="36">
                  <c:v>0.195521346987728</c:v>
                </c:pt>
                <c:pt idx="37">
                  <c:v>0.1972396654539445</c:v>
                </c:pt>
                <c:pt idx="38">
                  <c:v>0.19847627373850593</c:v>
                </c:pt>
                <c:pt idx="39">
                  <c:v>0.19922195704738202</c:v>
                </c:pt>
                <c:pt idx="40">
                  <c:v>0.19947114020071635</c:v>
                </c:pt>
                <c:pt idx="41">
                  <c:v>0.19922195704738199</c:v>
                </c:pt>
                <c:pt idx="42">
                  <c:v>0.19847627373850588</c:v>
                </c:pt>
                <c:pt idx="43">
                  <c:v>0.19723966545394442</c:v>
                </c:pt>
                <c:pt idx="44">
                  <c:v>0.19552134698772788</c:v>
                </c:pt>
                <c:pt idx="45">
                  <c:v>0.19333405840142456</c:v>
                </c:pt>
                <c:pt idx="46">
                  <c:v>0.19069390773026199</c:v>
                </c:pt>
                <c:pt idx="47">
                  <c:v>0.18762017345846888</c:v>
                </c:pt>
                <c:pt idx="48">
                  <c:v>0.18413507015166158</c:v>
                </c:pt>
                <c:pt idx="49">
                  <c:v>0.18026348123082389</c:v>
                </c:pt>
                <c:pt idx="50">
                  <c:v>0.17603266338214965</c:v>
                </c:pt>
                <c:pt idx="51">
                  <c:v>0.17147192750969184</c:v>
                </c:pt>
                <c:pt idx="52">
                  <c:v>0.1666123014458997</c:v>
                </c:pt>
                <c:pt idx="53">
                  <c:v>0.16148617983395702</c:v>
                </c:pt>
                <c:pt idx="54">
                  <c:v>0.15612696668338047</c:v>
                </c:pt>
                <c:pt idx="55">
                  <c:v>0.15056871607740205</c:v>
                </c:pt>
                <c:pt idx="56">
                  <c:v>0.1448457763807412</c:v>
                </c:pt>
                <c:pt idx="57">
                  <c:v>0.13899244306549807</c:v>
                </c:pt>
                <c:pt idx="58">
                  <c:v>0.13304262494937724</c:v>
                </c:pt>
                <c:pt idx="59">
                  <c:v>0.12702952823459432</c:v>
                </c:pt>
                <c:pt idx="60">
                  <c:v>0.1209853622595715</c:v>
                </c:pt>
                <c:pt idx="61">
                  <c:v>0.11494107034211633</c:v>
                </c:pt>
                <c:pt idx="62">
                  <c:v>0.10892608851627507</c:v>
                </c:pt>
                <c:pt idx="63">
                  <c:v>0.1029681343599872</c:v>
                </c:pt>
                <c:pt idx="64">
                  <c:v>9.7093027491606268E-2</c:v>
                </c:pt>
                <c:pt idx="65">
                  <c:v>9.1324542694510763E-2</c:v>
                </c:pt>
                <c:pt idx="66">
                  <c:v>8.568429602390347E-2</c:v>
                </c:pt>
                <c:pt idx="67">
                  <c:v>8.019166367095959E-2</c:v>
                </c:pt>
                <c:pt idx="68">
                  <c:v>7.4863732817872244E-2</c:v>
                </c:pt>
                <c:pt idx="69">
                  <c:v>6.9715283222679933E-2</c:v>
                </c:pt>
                <c:pt idx="70">
                  <c:v>6.4758797832945664E-2</c:v>
                </c:pt>
                <c:pt idx="71">
                  <c:v>6.0004500348492605E-2</c:v>
                </c:pt>
                <c:pt idx="72">
                  <c:v>5.5460417339727598E-2</c:v>
                </c:pt>
                <c:pt idx="73">
                  <c:v>5.1132462281988818E-2</c:v>
                </c:pt>
                <c:pt idx="74">
                  <c:v>4.7024538688443293E-2</c:v>
                </c:pt>
                <c:pt idx="75">
                  <c:v>4.3138659413255585E-2</c:v>
                </c:pt>
                <c:pt idx="76">
                  <c:v>3.9475079150446922E-2</c:v>
                </c:pt>
                <c:pt idx="77">
                  <c:v>3.603243716810884E-2</c:v>
                </c:pt>
                <c:pt idx="78">
                  <c:v>3.2807907387338152E-2</c:v>
                </c:pt>
                <c:pt idx="79">
                  <c:v>2.9797353034407892E-2</c:v>
                </c:pt>
                <c:pt idx="80">
                  <c:v>0.19947114020071635</c:v>
                </c:pt>
                <c:pt idx="81">
                  <c:v>0.19947114020071635</c:v>
                </c:pt>
                <c:pt idx="82">
                  <c:v>0.19947114020071635</c:v>
                </c:pt>
                <c:pt idx="83">
                  <c:v>0.19947114020071635</c:v>
                </c:pt>
                <c:pt idx="84">
                  <c:v>0.19947114020071635</c:v>
                </c:pt>
                <c:pt idx="85">
                  <c:v>0.19947114020071635</c:v>
                </c:pt>
                <c:pt idx="86">
                  <c:v>0.19947114020071635</c:v>
                </c:pt>
                <c:pt idx="87">
                  <c:v>0.19947114020071635</c:v>
                </c:pt>
                <c:pt idx="88">
                  <c:v>0.19947114020071635</c:v>
                </c:pt>
                <c:pt idx="89">
                  <c:v>0.19947114020071635</c:v>
                </c:pt>
                <c:pt idx="90">
                  <c:v>0.19947114020071635</c:v>
                </c:pt>
                <c:pt idx="91">
                  <c:v>0.19947114020071635</c:v>
                </c:pt>
                <c:pt idx="92">
                  <c:v>0.19947114020071635</c:v>
                </c:pt>
                <c:pt idx="93">
                  <c:v>0.19947114020071635</c:v>
                </c:pt>
                <c:pt idx="94">
                  <c:v>0.19947114020071635</c:v>
                </c:pt>
                <c:pt idx="95">
                  <c:v>0.19947114020071635</c:v>
                </c:pt>
                <c:pt idx="96">
                  <c:v>0.19947114020071635</c:v>
                </c:pt>
                <c:pt idx="97">
                  <c:v>0.19947114020071635</c:v>
                </c:pt>
                <c:pt idx="98">
                  <c:v>0.19947114020071635</c:v>
                </c:pt>
                <c:pt idx="99">
                  <c:v>0.19947114020071635</c:v>
                </c:pt>
                <c:pt idx="100">
                  <c:v>0.19947114020071635</c:v>
                </c:pt>
                <c:pt idx="101">
                  <c:v>0.19947114020071635</c:v>
                </c:pt>
                <c:pt idx="102">
                  <c:v>0.19947114020071635</c:v>
                </c:pt>
                <c:pt idx="103">
                  <c:v>0.19947114020071635</c:v>
                </c:pt>
                <c:pt idx="104">
                  <c:v>0.19947114020071635</c:v>
                </c:pt>
                <c:pt idx="105">
                  <c:v>0.19947114020071635</c:v>
                </c:pt>
                <c:pt idx="106">
                  <c:v>0.19947114020071635</c:v>
                </c:pt>
                <c:pt idx="107">
                  <c:v>0.19947114020071635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7-251D-4789-AB10-A27CF18AC9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12401136"/>
        <c:axId val="1"/>
      </c:scatterChart>
      <c:valAx>
        <c:axId val="4124011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412401136"/>
        <c:crosses val="autoZero"/>
        <c:crossBetween val="midCat"/>
      </c:valAx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xVal>
            <c:numRef>
              <c:f>Distributions!$B$204:$B$284</c:f>
              <c:numCache>
                <c:formatCode>0.000</c:formatCode>
                <c:ptCount val="81"/>
                <c:pt idx="0">
                  <c:v>-3</c:v>
                </c:pt>
                <c:pt idx="1">
                  <c:v>-2.9</c:v>
                </c:pt>
                <c:pt idx="2">
                  <c:v>-2.8</c:v>
                </c:pt>
                <c:pt idx="3">
                  <c:v>-2.6999999999999997</c:v>
                </c:pt>
                <c:pt idx="4">
                  <c:v>-2.5999999999999996</c:v>
                </c:pt>
                <c:pt idx="5">
                  <c:v>-2.4999999999999996</c:v>
                </c:pt>
                <c:pt idx="6">
                  <c:v>-2.3999999999999995</c:v>
                </c:pt>
                <c:pt idx="7">
                  <c:v>-2.2999999999999994</c:v>
                </c:pt>
                <c:pt idx="8">
                  <c:v>-2.1999999999999993</c:v>
                </c:pt>
                <c:pt idx="9">
                  <c:v>-2.0999999999999992</c:v>
                </c:pt>
                <c:pt idx="10">
                  <c:v>-1.9999999999999991</c:v>
                </c:pt>
                <c:pt idx="11">
                  <c:v>-1.899999999999999</c:v>
                </c:pt>
                <c:pt idx="12">
                  <c:v>-1.7999999999999989</c:v>
                </c:pt>
                <c:pt idx="13">
                  <c:v>-1.6999999999999988</c:v>
                </c:pt>
                <c:pt idx="14">
                  <c:v>-1.5999999999999988</c:v>
                </c:pt>
                <c:pt idx="15">
                  <c:v>-1.4999999999999987</c:v>
                </c:pt>
                <c:pt idx="16">
                  <c:v>-1.3999999999999986</c:v>
                </c:pt>
                <c:pt idx="17">
                  <c:v>-1.2999999999999985</c:v>
                </c:pt>
                <c:pt idx="18">
                  <c:v>-1.1999999999999984</c:v>
                </c:pt>
                <c:pt idx="19">
                  <c:v>-1.0999999999999983</c:v>
                </c:pt>
                <c:pt idx="20">
                  <c:v>-0.99999999999999833</c:v>
                </c:pt>
                <c:pt idx="21">
                  <c:v>-0.89999999999999836</c:v>
                </c:pt>
                <c:pt idx="22">
                  <c:v>-0.79999999999999838</c:v>
                </c:pt>
                <c:pt idx="23">
                  <c:v>-0.6999999999999984</c:v>
                </c:pt>
                <c:pt idx="24">
                  <c:v>-0.59999999999999842</c:v>
                </c:pt>
                <c:pt idx="25">
                  <c:v>-0.49999999999999845</c:v>
                </c:pt>
                <c:pt idx="26">
                  <c:v>-0.39999999999999847</c:v>
                </c:pt>
                <c:pt idx="27">
                  <c:v>-0.29999999999999849</c:v>
                </c:pt>
                <c:pt idx="28">
                  <c:v>-0.19999999999999848</c:v>
                </c:pt>
                <c:pt idx="29">
                  <c:v>-9.9999999999998479E-2</c:v>
                </c:pt>
                <c:pt idx="30">
                  <c:v>1.5265566588595902E-15</c:v>
                </c:pt>
                <c:pt idx="31">
                  <c:v>0.10000000000000153</c:v>
                </c:pt>
                <c:pt idx="32">
                  <c:v>0.20000000000000154</c:v>
                </c:pt>
                <c:pt idx="33">
                  <c:v>0.30000000000000154</c:v>
                </c:pt>
                <c:pt idx="34">
                  <c:v>0.40000000000000158</c:v>
                </c:pt>
                <c:pt idx="35">
                  <c:v>0.50000000000000155</c:v>
                </c:pt>
                <c:pt idx="36">
                  <c:v>0.60000000000000153</c:v>
                </c:pt>
                <c:pt idx="37">
                  <c:v>0.70000000000000151</c:v>
                </c:pt>
                <c:pt idx="38">
                  <c:v>0.80000000000000149</c:v>
                </c:pt>
                <c:pt idx="39">
                  <c:v>0.90000000000000147</c:v>
                </c:pt>
                <c:pt idx="40">
                  <c:v>1.0000000000000016</c:v>
                </c:pt>
                <c:pt idx="41">
                  <c:v>1.1000000000000016</c:v>
                </c:pt>
                <c:pt idx="42">
                  <c:v>1.2000000000000017</c:v>
                </c:pt>
                <c:pt idx="43">
                  <c:v>1.3000000000000018</c:v>
                </c:pt>
                <c:pt idx="44">
                  <c:v>1.4000000000000019</c:v>
                </c:pt>
                <c:pt idx="45">
                  <c:v>1.500000000000002</c:v>
                </c:pt>
                <c:pt idx="46">
                  <c:v>1.6000000000000021</c:v>
                </c:pt>
                <c:pt idx="47">
                  <c:v>1.7000000000000022</c:v>
                </c:pt>
                <c:pt idx="48">
                  <c:v>1.8000000000000023</c:v>
                </c:pt>
                <c:pt idx="49">
                  <c:v>1.9000000000000024</c:v>
                </c:pt>
                <c:pt idx="50">
                  <c:v>2.0000000000000022</c:v>
                </c:pt>
                <c:pt idx="51">
                  <c:v>2.1000000000000023</c:v>
                </c:pt>
                <c:pt idx="52">
                  <c:v>2.2000000000000024</c:v>
                </c:pt>
                <c:pt idx="53">
                  <c:v>2.3000000000000025</c:v>
                </c:pt>
                <c:pt idx="54">
                  <c:v>2.4000000000000026</c:v>
                </c:pt>
                <c:pt idx="55">
                  <c:v>2.5000000000000027</c:v>
                </c:pt>
                <c:pt idx="56">
                  <c:v>2.6000000000000028</c:v>
                </c:pt>
                <c:pt idx="57">
                  <c:v>2.7000000000000028</c:v>
                </c:pt>
                <c:pt idx="58">
                  <c:v>2.8000000000000029</c:v>
                </c:pt>
                <c:pt idx="59">
                  <c:v>2.900000000000003</c:v>
                </c:pt>
                <c:pt idx="60">
                  <c:v>3.0000000000000031</c:v>
                </c:pt>
              </c:numCache>
            </c:numRef>
          </c:xVal>
          <c:yVal>
            <c:numRef>
              <c:f>Distributions!$C$204:$C$284</c:f>
              <c:numCache>
                <c:formatCode>0.000</c:formatCode>
                <c:ptCount val="81"/>
                <c:pt idx="0">
                  <c:v>4.4318484119380075E-3</c:v>
                </c:pt>
                <c:pt idx="1">
                  <c:v>5.9525324197758538E-3</c:v>
                </c:pt>
                <c:pt idx="2">
                  <c:v>7.9154515829799686E-3</c:v>
                </c:pt>
                <c:pt idx="3">
                  <c:v>1.0420934814422605E-2</c:v>
                </c:pt>
                <c:pt idx="4">
                  <c:v>1.3582969233685634E-2</c:v>
                </c:pt>
                <c:pt idx="5">
                  <c:v>1.7528300493568554E-2</c:v>
                </c:pt>
                <c:pt idx="6">
                  <c:v>2.2394530294842931E-2</c:v>
                </c:pt>
                <c:pt idx="7">
                  <c:v>2.832703774160121E-2</c:v>
                </c:pt>
                <c:pt idx="8">
                  <c:v>3.5474592846231487E-2</c:v>
                </c:pt>
                <c:pt idx="9">
                  <c:v>4.3983595980427267E-2</c:v>
                </c:pt>
                <c:pt idx="10">
                  <c:v>5.3990966513188146E-2</c:v>
                </c:pt>
                <c:pt idx="11">
                  <c:v>6.561581477467672E-2</c:v>
                </c:pt>
                <c:pt idx="12">
                  <c:v>7.8950158300894302E-2</c:v>
                </c:pt>
                <c:pt idx="13">
                  <c:v>9.4049077376887114E-2</c:v>
                </c:pt>
                <c:pt idx="14">
                  <c:v>0.11092083467945579</c:v>
                </c:pt>
                <c:pt idx="15">
                  <c:v>0.12951759566589199</c:v>
                </c:pt>
                <c:pt idx="16">
                  <c:v>0.14972746563574515</c:v>
                </c:pt>
                <c:pt idx="17">
                  <c:v>0.17136859204780769</c:v>
                </c:pt>
                <c:pt idx="18">
                  <c:v>0.19418605498321331</c:v>
                </c:pt>
                <c:pt idx="19">
                  <c:v>0.21785217703255097</c:v>
                </c:pt>
                <c:pt idx="20">
                  <c:v>0.24197072451914375</c:v>
                </c:pt>
                <c:pt idx="21">
                  <c:v>0.26608524989875521</c:v>
                </c:pt>
                <c:pt idx="22">
                  <c:v>0.28969155276148312</c:v>
                </c:pt>
                <c:pt idx="23">
                  <c:v>0.3122539333667616</c:v>
                </c:pt>
                <c:pt idx="24">
                  <c:v>0.33322460289179995</c:v>
                </c:pt>
                <c:pt idx="25">
                  <c:v>0.3520653267642998</c:v>
                </c:pt>
                <c:pt idx="26">
                  <c:v>0.36827014030332356</c:v>
                </c:pt>
                <c:pt idx="27">
                  <c:v>0.38138781546052425</c:v>
                </c:pt>
                <c:pt idx="28">
                  <c:v>0.39104269397545599</c:v>
                </c:pt>
                <c:pt idx="29">
                  <c:v>0.39695254747701186</c:v>
                </c:pt>
                <c:pt idx="30">
                  <c:v>0.3989422804014327</c:v>
                </c:pt>
                <c:pt idx="31">
                  <c:v>0.39695254747701175</c:v>
                </c:pt>
                <c:pt idx="32">
                  <c:v>0.39104269397545577</c:v>
                </c:pt>
                <c:pt idx="33">
                  <c:v>0.38138781546052397</c:v>
                </c:pt>
                <c:pt idx="34">
                  <c:v>0.36827014030332311</c:v>
                </c:pt>
                <c:pt idx="35">
                  <c:v>0.35206532676429919</c:v>
                </c:pt>
                <c:pt idx="36">
                  <c:v>0.33322460289179934</c:v>
                </c:pt>
                <c:pt idx="37">
                  <c:v>0.31225393336676094</c:v>
                </c:pt>
                <c:pt idx="38">
                  <c:v>0.2896915527614824</c:v>
                </c:pt>
                <c:pt idx="39">
                  <c:v>0.26608524989875448</c:v>
                </c:pt>
                <c:pt idx="40">
                  <c:v>0.241970724519143</c:v>
                </c:pt>
                <c:pt idx="41">
                  <c:v>0.21785217703255014</c:v>
                </c:pt>
                <c:pt idx="42">
                  <c:v>0.19418605498321254</c:v>
                </c:pt>
                <c:pt idx="43">
                  <c:v>0.17136859204780694</c:v>
                </c:pt>
                <c:pt idx="44">
                  <c:v>0.14972746563574449</c:v>
                </c:pt>
                <c:pt idx="45">
                  <c:v>0.12951759566589133</c:v>
                </c:pt>
                <c:pt idx="46">
                  <c:v>0.1109208346794552</c:v>
                </c:pt>
                <c:pt idx="47">
                  <c:v>9.4049077376886586E-2</c:v>
                </c:pt>
                <c:pt idx="48">
                  <c:v>7.8950158300893844E-2</c:v>
                </c:pt>
                <c:pt idx="49">
                  <c:v>6.5615814774676304E-2</c:v>
                </c:pt>
                <c:pt idx="50">
                  <c:v>5.3990966513187813E-2</c:v>
                </c:pt>
                <c:pt idx="51">
                  <c:v>4.3983595980426976E-2</c:v>
                </c:pt>
                <c:pt idx="52">
                  <c:v>3.5474592846231251E-2</c:v>
                </c:pt>
                <c:pt idx="53">
                  <c:v>2.8327037741601009E-2</c:v>
                </c:pt>
                <c:pt idx="54">
                  <c:v>2.2394530294842761E-2</c:v>
                </c:pt>
                <c:pt idx="55">
                  <c:v>1.7528300493568419E-2</c:v>
                </c:pt>
                <c:pt idx="56">
                  <c:v>1.3582969233685523E-2</c:v>
                </c:pt>
                <c:pt idx="57">
                  <c:v>1.0420934814422515E-2</c:v>
                </c:pt>
                <c:pt idx="58">
                  <c:v>7.9154515829798974E-3</c:v>
                </c:pt>
                <c:pt idx="59">
                  <c:v>5.9525324197758009E-3</c:v>
                </c:pt>
                <c:pt idx="60">
                  <c:v>4.4318484119379676E-3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08B0-4161-BB87-FC388241A74C}"/>
            </c:ext>
          </c:extLst>
        </c:ser>
        <c:ser>
          <c:idx val="1"/>
          <c:order val="1"/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Distributions!$B$204:$B$284</c:f>
              <c:numCache>
                <c:formatCode>0.000</c:formatCode>
                <c:ptCount val="81"/>
                <c:pt idx="0">
                  <c:v>-3</c:v>
                </c:pt>
                <c:pt idx="1">
                  <c:v>-2.9</c:v>
                </c:pt>
                <c:pt idx="2">
                  <c:v>-2.8</c:v>
                </c:pt>
                <c:pt idx="3">
                  <c:v>-2.6999999999999997</c:v>
                </c:pt>
                <c:pt idx="4">
                  <c:v>-2.5999999999999996</c:v>
                </c:pt>
                <c:pt idx="5">
                  <c:v>-2.4999999999999996</c:v>
                </c:pt>
                <c:pt idx="6">
                  <c:v>-2.3999999999999995</c:v>
                </c:pt>
                <c:pt idx="7">
                  <c:v>-2.2999999999999994</c:v>
                </c:pt>
                <c:pt idx="8">
                  <c:v>-2.1999999999999993</c:v>
                </c:pt>
                <c:pt idx="9">
                  <c:v>-2.0999999999999992</c:v>
                </c:pt>
                <c:pt idx="10">
                  <c:v>-1.9999999999999991</c:v>
                </c:pt>
                <c:pt idx="11">
                  <c:v>-1.899999999999999</c:v>
                </c:pt>
                <c:pt idx="12">
                  <c:v>-1.7999999999999989</c:v>
                </c:pt>
                <c:pt idx="13">
                  <c:v>-1.6999999999999988</c:v>
                </c:pt>
                <c:pt idx="14">
                  <c:v>-1.5999999999999988</c:v>
                </c:pt>
                <c:pt idx="15">
                  <c:v>-1.4999999999999987</c:v>
                </c:pt>
                <c:pt idx="16">
                  <c:v>-1.3999999999999986</c:v>
                </c:pt>
                <c:pt idx="17">
                  <c:v>-1.2999999999999985</c:v>
                </c:pt>
                <c:pt idx="18">
                  <c:v>-1.1999999999999984</c:v>
                </c:pt>
                <c:pt idx="19">
                  <c:v>-1.0999999999999983</c:v>
                </c:pt>
                <c:pt idx="20">
                  <c:v>-0.99999999999999833</c:v>
                </c:pt>
                <c:pt idx="21">
                  <c:v>-0.89999999999999836</c:v>
                </c:pt>
                <c:pt idx="22">
                  <c:v>-0.79999999999999838</c:v>
                </c:pt>
                <c:pt idx="23">
                  <c:v>-0.6999999999999984</c:v>
                </c:pt>
                <c:pt idx="24">
                  <c:v>-0.59999999999999842</c:v>
                </c:pt>
                <c:pt idx="25">
                  <c:v>-0.49999999999999845</c:v>
                </c:pt>
                <c:pt idx="26">
                  <c:v>-0.39999999999999847</c:v>
                </c:pt>
                <c:pt idx="27">
                  <c:v>-0.29999999999999849</c:v>
                </c:pt>
                <c:pt idx="28">
                  <c:v>-0.19999999999999848</c:v>
                </c:pt>
                <c:pt idx="29">
                  <c:v>-9.9999999999998479E-2</c:v>
                </c:pt>
                <c:pt idx="30">
                  <c:v>1.5265566588595902E-15</c:v>
                </c:pt>
                <c:pt idx="31">
                  <c:v>0.10000000000000153</c:v>
                </c:pt>
                <c:pt idx="32">
                  <c:v>0.20000000000000154</c:v>
                </c:pt>
                <c:pt idx="33">
                  <c:v>0.30000000000000154</c:v>
                </c:pt>
                <c:pt idx="34">
                  <c:v>0.40000000000000158</c:v>
                </c:pt>
                <c:pt idx="35">
                  <c:v>0.50000000000000155</c:v>
                </c:pt>
                <c:pt idx="36">
                  <c:v>0.60000000000000153</c:v>
                </c:pt>
                <c:pt idx="37">
                  <c:v>0.70000000000000151</c:v>
                </c:pt>
                <c:pt idx="38">
                  <c:v>0.80000000000000149</c:v>
                </c:pt>
                <c:pt idx="39">
                  <c:v>0.90000000000000147</c:v>
                </c:pt>
                <c:pt idx="40">
                  <c:v>1.0000000000000016</c:v>
                </c:pt>
                <c:pt idx="41">
                  <c:v>1.1000000000000016</c:v>
                </c:pt>
                <c:pt idx="42">
                  <c:v>1.2000000000000017</c:v>
                </c:pt>
                <c:pt idx="43">
                  <c:v>1.3000000000000018</c:v>
                </c:pt>
                <c:pt idx="44">
                  <c:v>1.4000000000000019</c:v>
                </c:pt>
                <c:pt idx="45">
                  <c:v>1.500000000000002</c:v>
                </c:pt>
                <c:pt idx="46">
                  <c:v>1.6000000000000021</c:v>
                </c:pt>
                <c:pt idx="47">
                  <c:v>1.7000000000000022</c:v>
                </c:pt>
                <c:pt idx="48">
                  <c:v>1.8000000000000023</c:v>
                </c:pt>
                <c:pt idx="49">
                  <c:v>1.9000000000000024</c:v>
                </c:pt>
                <c:pt idx="50">
                  <c:v>2.0000000000000022</c:v>
                </c:pt>
                <c:pt idx="51">
                  <c:v>2.1000000000000023</c:v>
                </c:pt>
                <c:pt idx="52">
                  <c:v>2.2000000000000024</c:v>
                </c:pt>
                <c:pt idx="53">
                  <c:v>2.3000000000000025</c:v>
                </c:pt>
                <c:pt idx="54">
                  <c:v>2.4000000000000026</c:v>
                </c:pt>
                <c:pt idx="55">
                  <c:v>2.5000000000000027</c:v>
                </c:pt>
                <c:pt idx="56">
                  <c:v>2.6000000000000028</c:v>
                </c:pt>
                <c:pt idx="57">
                  <c:v>2.7000000000000028</c:v>
                </c:pt>
                <c:pt idx="58">
                  <c:v>2.8000000000000029</c:v>
                </c:pt>
                <c:pt idx="59">
                  <c:v>2.900000000000003</c:v>
                </c:pt>
                <c:pt idx="60">
                  <c:v>3.0000000000000031</c:v>
                </c:pt>
              </c:numCache>
            </c:numRef>
          </c:xVal>
          <c:yVal>
            <c:numRef>
              <c:f>Distributions!$D$204:$D$284</c:f>
              <c:numCache>
                <c:formatCode>0.000</c:formatCode>
                <c:ptCount val="81"/>
                <c:pt idx="0">
                  <c:v>1.3498980316300933E-3</c:v>
                </c:pt>
                <c:pt idx="1">
                  <c:v>1.8658133003840378E-3</c:v>
                </c:pt>
                <c:pt idx="2">
                  <c:v>2.5551303304279312E-3</c:v>
                </c:pt>
                <c:pt idx="3">
                  <c:v>3.4669738030406677E-3</c:v>
                </c:pt>
                <c:pt idx="4">
                  <c:v>4.6611880237187493E-3</c:v>
                </c:pt>
                <c:pt idx="5">
                  <c:v>6.2096653257761383E-3</c:v>
                </c:pt>
                <c:pt idx="6">
                  <c:v>8.1975359245961381E-3</c:v>
                </c:pt>
                <c:pt idx="7">
                  <c:v>1.0724110021675814E-2</c:v>
                </c:pt>
                <c:pt idx="8">
                  <c:v>1.3903447513498632E-2</c:v>
                </c:pt>
                <c:pt idx="9">
                  <c:v>1.786442056281658E-2</c:v>
                </c:pt>
                <c:pt idx="10">
                  <c:v>2.2750131948179247E-2</c:v>
                </c:pt>
                <c:pt idx="11">
                  <c:v>2.8716559816001866E-2</c:v>
                </c:pt>
                <c:pt idx="12">
                  <c:v>3.5930319112925886E-2</c:v>
                </c:pt>
                <c:pt idx="13">
                  <c:v>4.4565462758543145E-2</c:v>
                </c:pt>
                <c:pt idx="14">
                  <c:v>5.4799291699558127E-2</c:v>
                </c:pt>
                <c:pt idx="15">
                  <c:v>6.6807201268858196E-2</c:v>
                </c:pt>
                <c:pt idx="16">
                  <c:v>8.0756659233771233E-2</c:v>
                </c:pt>
                <c:pt idx="17">
                  <c:v>9.680048458561058E-2</c:v>
                </c:pt>
                <c:pt idx="18">
                  <c:v>0.11506967022170858</c:v>
                </c:pt>
                <c:pt idx="19">
                  <c:v>0.13566606094638298</c:v>
                </c:pt>
                <c:pt idx="20">
                  <c:v>0.15865525393145746</c:v>
                </c:pt>
                <c:pt idx="21">
                  <c:v>0.18406012534675992</c:v>
                </c:pt>
                <c:pt idx="22">
                  <c:v>0.21185539858339716</c:v>
                </c:pt>
                <c:pt idx="23">
                  <c:v>0.24196365222307348</c:v>
                </c:pt>
                <c:pt idx="24">
                  <c:v>0.2742531177500741</c:v>
                </c:pt>
                <c:pt idx="25">
                  <c:v>0.30853753872598744</c:v>
                </c:pt>
                <c:pt idx="26">
                  <c:v>0.34457825838967637</c:v>
                </c:pt>
                <c:pt idx="27">
                  <c:v>0.38208857781104794</c:v>
                </c:pt>
                <c:pt idx="28">
                  <c:v>0.42074029056089757</c:v>
                </c:pt>
                <c:pt idx="29">
                  <c:v>0.46017216272297162</c:v>
                </c:pt>
                <c:pt idx="30">
                  <c:v>0.50000000000000067</c:v>
                </c:pt>
                <c:pt idx="31">
                  <c:v>0.53982783727702954</c:v>
                </c:pt>
                <c:pt idx="32">
                  <c:v>0.57925970943910365</c:v>
                </c:pt>
                <c:pt idx="33">
                  <c:v>0.61791142218895323</c:v>
                </c:pt>
                <c:pt idx="34">
                  <c:v>0.65542174161032474</c:v>
                </c:pt>
                <c:pt idx="35">
                  <c:v>0.69146246127401367</c:v>
                </c:pt>
                <c:pt idx="36">
                  <c:v>0.72574688224992701</c:v>
                </c:pt>
                <c:pt idx="37">
                  <c:v>0.75803634777692741</c:v>
                </c:pt>
                <c:pt idx="38">
                  <c:v>0.78814460141660381</c:v>
                </c:pt>
                <c:pt idx="39">
                  <c:v>0.81593987465324092</c:v>
                </c:pt>
                <c:pt idx="40">
                  <c:v>0.84134474606854337</c:v>
                </c:pt>
                <c:pt idx="41">
                  <c:v>0.86433393905361777</c:v>
                </c:pt>
                <c:pt idx="42">
                  <c:v>0.88493032977829211</c:v>
                </c:pt>
                <c:pt idx="43">
                  <c:v>0.90319951541439003</c:v>
                </c:pt>
                <c:pt idx="44">
                  <c:v>0.91924334076622927</c:v>
                </c:pt>
                <c:pt idx="45">
                  <c:v>0.93319279873114225</c:v>
                </c:pt>
                <c:pt idx="46">
                  <c:v>0.94520070830044223</c:v>
                </c:pt>
                <c:pt idx="47">
                  <c:v>0.95543453724145722</c:v>
                </c:pt>
                <c:pt idx="48">
                  <c:v>0.96406968088707434</c:v>
                </c:pt>
                <c:pt idx="49">
                  <c:v>0.97128344018399837</c:v>
                </c:pt>
                <c:pt idx="50">
                  <c:v>0.9772498680518209</c:v>
                </c:pt>
                <c:pt idx="51">
                  <c:v>0.98213557943718355</c:v>
                </c:pt>
                <c:pt idx="52">
                  <c:v>0.98609655248650152</c:v>
                </c:pt>
                <c:pt idx="53">
                  <c:v>0.98927588997832427</c:v>
                </c:pt>
                <c:pt idx="54">
                  <c:v>0.99180246407540396</c:v>
                </c:pt>
                <c:pt idx="55">
                  <c:v>0.99379033467422395</c:v>
                </c:pt>
                <c:pt idx="56">
                  <c:v>0.99533881197628127</c:v>
                </c:pt>
                <c:pt idx="57">
                  <c:v>0.99653302619695938</c:v>
                </c:pt>
                <c:pt idx="58">
                  <c:v>0.99744486966957213</c:v>
                </c:pt>
                <c:pt idx="59">
                  <c:v>0.99813418669961596</c:v>
                </c:pt>
                <c:pt idx="60">
                  <c:v>0.9986501019683699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8B0-4161-BB87-FC388241A7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12398512"/>
        <c:axId val="1"/>
      </c:scatterChart>
      <c:valAx>
        <c:axId val="412398512"/>
        <c:scaling>
          <c:orientation val="minMax"/>
          <c:max val="4"/>
          <c:min val="-4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412398512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xVal>
            <c:numRef>
              <c:f>Distributions!$I$94:$I$173</c:f>
              <c:numCache>
                <c:formatCode>0.000</c:formatCode>
                <c:ptCount val="80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53</c:v>
                </c:pt>
                <c:pt idx="24">
                  <c:v>54</c:v>
                </c:pt>
                <c:pt idx="25">
                  <c:v>55</c:v>
                </c:pt>
                <c:pt idx="26">
                  <c:v>56</c:v>
                </c:pt>
                <c:pt idx="27">
                  <c:v>57</c:v>
                </c:pt>
                <c:pt idx="28">
                  <c:v>58</c:v>
                </c:pt>
                <c:pt idx="29">
                  <c:v>59</c:v>
                </c:pt>
                <c:pt idx="30">
                  <c:v>60</c:v>
                </c:pt>
                <c:pt idx="31">
                  <c:v>61</c:v>
                </c:pt>
                <c:pt idx="32">
                  <c:v>62</c:v>
                </c:pt>
                <c:pt idx="33">
                  <c:v>63</c:v>
                </c:pt>
                <c:pt idx="34">
                  <c:v>64</c:v>
                </c:pt>
                <c:pt idx="35">
                  <c:v>65</c:v>
                </c:pt>
                <c:pt idx="36">
                  <c:v>66</c:v>
                </c:pt>
                <c:pt idx="37">
                  <c:v>67</c:v>
                </c:pt>
                <c:pt idx="38">
                  <c:v>68</c:v>
                </c:pt>
                <c:pt idx="39">
                  <c:v>69</c:v>
                </c:pt>
                <c:pt idx="40">
                  <c:v>70</c:v>
                </c:pt>
                <c:pt idx="41">
                  <c:v>71</c:v>
                </c:pt>
                <c:pt idx="42">
                  <c:v>72</c:v>
                </c:pt>
                <c:pt idx="43">
                  <c:v>73</c:v>
                </c:pt>
                <c:pt idx="44">
                  <c:v>74</c:v>
                </c:pt>
                <c:pt idx="45">
                  <c:v>75</c:v>
                </c:pt>
                <c:pt idx="46">
                  <c:v>76</c:v>
                </c:pt>
                <c:pt idx="47">
                  <c:v>77</c:v>
                </c:pt>
                <c:pt idx="48">
                  <c:v>78</c:v>
                </c:pt>
                <c:pt idx="49">
                  <c:v>79</c:v>
                </c:pt>
                <c:pt idx="50">
                  <c:v>80</c:v>
                </c:pt>
                <c:pt idx="51">
                  <c:v>81</c:v>
                </c:pt>
                <c:pt idx="52">
                  <c:v>82</c:v>
                </c:pt>
                <c:pt idx="53">
                  <c:v>83</c:v>
                </c:pt>
                <c:pt idx="54">
                  <c:v>84</c:v>
                </c:pt>
                <c:pt idx="55">
                  <c:v>85</c:v>
                </c:pt>
                <c:pt idx="56">
                  <c:v>86</c:v>
                </c:pt>
                <c:pt idx="57">
                  <c:v>87</c:v>
                </c:pt>
                <c:pt idx="58">
                  <c:v>88</c:v>
                </c:pt>
                <c:pt idx="59">
                  <c:v>89</c:v>
                </c:pt>
                <c:pt idx="60">
                  <c:v>90</c:v>
                </c:pt>
              </c:numCache>
            </c:numRef>
          </c:xVal>
          <c:yVal>
            <c:numRef>
              <c:f>Distributions!$J$94:$J$173</c:f>
              <c:numCache>
                <c:formatCode>0.000</c:formatCode>
                <c:ptCount val="80"/>
                <c:pt idx="0">
                  <c:v>4.4318484119380076E-4</c:v>
                </c:pt>
                <c:pt idx="1">
                  <c:v>5.9525324197758534E-4</c:v>
                </c:pt>
                <c:pt idx="2">
                  <c:v>7.9154515829799694E-4</c:v>
                </c:pt>
                <c:pt idx="3">
                  <c:v>1.0420934814422591E-3</c:v>
                </c:pt>
                <c:pt idx="4">
                  <c:v>1.3582969233685612E-3</c:v>
                </c:pt>
                <c:pt idx="5">
                  <c:v>1.752830049356854E-3</c:v>
                </c:pt>
                <c:pt idx="6">
                  <c:v>2.2394530294842902E-3</c:v>
                </c:pt>
                <c:pt idx="7">
                  <c:v>2.8327037741601186E-3</c:v>
                </c:pt>
                <c:pt idx="8">
                  <c:v>3.5474592846231421E-3</c:v>
                </c:pt>
                <c:pt idx="9">
                  <c:v>4.3983595980427196E-3</c:v>
                </c:pt>
                <c:pt idx="10">
                  <c:v>5.3990966513188061E-3</c:v>
                </c:pt>
                <c:pt idx="11">
                  <c:v>6.5615814774676604E-3</c:v>
                </c:pt>
                <c:pt idx="12">
                  <c:v>7.8950158300894139E-3</c:v>
                </c:pt>
                <c:pt idx="13">
                  <c:v>9.4049077376886937E-3</c:v>
                </c:pt>
                <c:pt idx="14">
                  <c:v>1.1092083467945555E-2</c:v>
                </c:pt>
                <c:pt idx="15">
                  <c:v>1.2951759566589173E-2</c:v>
                </c:pt>
                <c:pt idx="16">
                  <c:v>1.4972746563574486E-2</c:v>
                </c:pt>
                <c:pt idx="17">
                  <c:v>1.7136859204780735E-2</c:v>
                </c:pt>
                <c:pt idx="18">
                  <c:v>1.9418605498321296E-2</c:v>
                </c:pt>
                <c:pt idx="19">
                  <c:v>2.1785217703255054E-2</c:v>
                </c:pt>
                <c:pt idx="20">
                  <c:v>2.4197072451914336E-2</c:v>
                </c:pt>
                <c:pt idx="21">
                  <c:v>2.6608524989875482E-2</c:v>
                </c:pt>
                <c:pt idx="22">
                  <c:v>2.8969155276148274E-2</c:v>
                </c:pt>
                <c:pt idx="23">
                  <c:v>3.1225393336676129E-2</c:v>
                </c:pt>
                <c:pt idx="24">
                  <c:v>3.3322460289179963E-2</c:v>
                </c:pt>
                <c:pt idx="25">
                  <c:v>3.5206532676429952E-2</c:v>
                </c:pt>
                <c:pt idx="26">
                  <c:v>3.6827014030332332E-2</c:v>
                </c:pt>
                <c:pt idx="27">
                  <c:v>3.8138781546052408E-2</c:v>
                </c:pt>
                <c:pt idx="28">
                  <c:v>3.9104269397545591E-2</c:v>
                </c:pt>
                <c:pt idx="29">
                  <c:v>3.9695254747701178E-2</c:v>
                </c:pt>
                <c:pt idx="30">
                  <c:v>3.9894228040143274E-2</c:v>
                </c:pt>
                <c:pt idx="31">
                  <c:v>3.9695254747701178E-2</c:v>
                </c:pt>
                <c:pt idx="32">
                  <c:v>3.9104269397545591E-2</c:v>
                </c:pt>
                <c:pt idx="33">
                  <c:v>3.8138781546052408E-2</c:v>
                </c:pt>
                <c:pt idx="34">
                  <c:v>3.6827014030332332E-2</c:v>
                </c:pt>
                <c:pt idx="35">
                  <c:v>3.5206532676429952E-2</c:v>
                </c:pt>
                <c:pt idx="36">
                  <c:v>3.3322460289179963E-2</c:v>
                </c:pt>
                <c:pt idx="37">
                  <c:v>3.1225393336676129E-2</c:v>
                </c:pt>
                <c:pt idx="38">
                  <c:v>2.8969155276148274E-2</c:v>
                </c:pt>
                <c:pt idx="39">
                  <c:v>2.6608524989875482E-2</c:v>
                </c:pt>
                <c:pt idx="40">
                  <c:v>2.4197072451914336E-2</c:v>
                </c:pt>
                <c:pt idx="41">
                  <c:v>2.1785217703255054E-2</c:v>
                </c:pt>
                <c:pt idx="42">
                  <c:v>1.9418605498321296E-2</c:v>
                </c:pt>
                <c:pt idx="43">
                  <c:v>1.7136859204780735E-2</c:v>
                </c:pt>
                <c:pt idx="44">
                  <c:v>1.4972746563574486E-2</c:v>
                </c:pt>
                <c:pt idx="45">
                  <c:v>1.2951759566589173E-2</c:v>
                </c:pt>
                <c:pt idx="46">
                  <c:v>1.1092083467945555E-2</c:v>
                </c:pt>
                <c:pt idx="47">
                  <c:v>9.4049077376886937E-3</c:v>
                </c:pt>
                <c:pt idx="48">
                  <c:v>7.8950158300894139E-3</c:v>
                </c:pt>
                <c:pt idx="49">
                  <c:v>6.5615814774676604E-3</c:v>
                </c:pt>
                <c:pt idx="50">
                  <c:v>5.3990966513188061E-3</c:v>
                </c:pt>
                <c:pt idx="51">
                  <c:v>4.3983595980427196E-3</c:v>
                </c:pt>
                <c:pt idx="52">
                  <c:v>3.5474592846231421E-3</c:v>
                </c:pt>
                <c:pt idx="53">
                  <c:v>2.8327037741601186E-3</c:v>
                </c:pt>
                <c:pt idx="54">
                  <c:v>2.2394530294842902E-3</c:v>
                </c:pt>
                <c:pt idx="55">
                  <c:v>1.752830049356854E-3</c:v>
                </c:pt>
                <c:pt idx="56">
                  <c:v>1.3582969233685612E-3</c:v>
                </c:pt>
                <c:pt idx="57">
                  <c:v>1.0420934814422591E-3</c:v>
                </c:pt>
                <c:pt idx="58">
                  <c:v>7.9154515829799694E-4</c:v>
                </c:pt>
                <c:pt idx="59">
                  <c:v>5.9525324197758534E-4</c:v>
                </c:pt>
                <c:pt idx="60">
                  <c:v>4.4318484119380076E-4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D934-4A58-B753-EF55E2473A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12400152"/>
        <c:axId val="1"/>
      </c:scatterChart>
      <c:valAx>
        <c:axId val="4124001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1600" b="1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412400152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xVal>
            <c:numRef>
              <c:f>Distributions!$B$94:$B$201</c:f>
              <c:numCache>
                <c:formatCode>0.000</c:formatCode>
                <c:ptCount val="108"/>
                <c:pt idx="0">
                  <c:v>-4</c:v>
                </c:pt>
                <c:pt idx="1">
                  <c:v>-3.9</c:v>
                </c:pt>
                <c:pt idx="2">
                  <c:v>-3.8</c:v>
                </c:pt>
                <c:pt idx="3">
                  <c:v>-3.6999999999999997</c:v>
                </c:pt>
                <c:pt idx="4">
                  <c:v>-3.5999999999999996</c:v>
                </c:pt>
                <c:pt idx="5">
                  <c:v>-3.4999999999999996</c:v>
                </c:pt>
                <c:pt idx="6">
                  <c:v>-3.3999999999999995</c:v>
                </c:pt>
                <c:pt idx="7">
                  <c:v>-3.2999999999999994</c:v>
                </c:pt>
                <c:pt idx="8">
                  <c:v>-3.1999999999999993</c:v>
                </c:pt>
                <c:pt idx="9">
                  <c:v>-3.0999999999999992</c:v>
                </c:pt>
                <c:pt idx="10">
                  <c:v>-2.9999999999999991</c:v>
                </c:pt>
                <c:pt idx="11">
                  <c:v>-2.899999999999999</c:v>
                </c:pt>
                <c:pt idx="12">
                  <c:v>-2.7999999999999989</c:v>
                </c:pt>
                <c:pt idx="13">
                  <c:v>-2.6999999999999988</c:v>
                </c:pt>
                <c:pt idx="14">
                  <c:v>-2.5999999999999988</c:v>
                </c:pt>
                <c:pt idx="15">
                  <c:v>-2.4999999999999987</c:v>
                </c:pt>
                <c:pt idx="16">
                  <c:v>-2.3999999999999986</c:v>
                </c:pt>
                <c:pt idx="17">
                  <c:v>-2.2999999999999985</c:v>
                </c:pt>
                <c:pt idx="18">
                  <c:v>-2.1999999999999984</c:v>
                </c:pt>
                <c:pt idx="19">
                  <c:v>-2.0999999999999983</c:v>
                </c:pt>
                <c:pt idx="20">
                  <c:v>-1.9999999999999982</c:v>
                </c:pt>
                <c:pt idx="21">
                  <c:v>-1.8999999999999981</c:v>
                </c:pt>
                <c:pt idx="22">
                  <c:v>-1.799999999999998</c:v>
                </c:pt>
                <c:pt idx="23">
                  <c:v>-1.699999999999998</c:v>
                </c:pt>
                <c:pt idx="24">
                  <c:v>-1.5999999999999979</c:v>
                </c:pt>
                <c:pt idx="25">
                  <c:v>-1.4999999999999978</c:v>
                </c:pt>
                <c:pt idx="26">
                  <c:v>-1.3999999999999977</c:v>
                </c:pt>
                <c:pt idx="27">
                  <c:v>-1.2999999999999976</c:v>
                </c:pt>
                <c:pt idx="28">
                  <c:v>-1.1999999999999975</c:v>
                </c:pt>
                <c:pt idx="29">
                  <c:v>-1.0999999999999974</c:v>
                </c:pt>
                <c:pt idx="30">
                  <c:v>-0.99999999999999745</c:v>
                </c:pt>
                <c:pt idx="31">
                  <c:v>-0.89999999999999747</c:v>
                </c:pt>
                <c:pt idx="32">
                  <c:v>-0.79999999999999749</c:v>
                </c:pt>
                <c:pt idx="33">
                  <c:v>-0.69999999999999751</c:v>
                </c:pt>
                <c:pt idx="34">
                  <c:v>-0.59999999999999754</c:v>
                </c:pt>
                <c:pt idx="35">
                  <c:v>-0.49999999999999756</c:v>
                </c:pt>
                <c:pt idx="36">
                  <c:v>-0.39999999999999758</c:v>
                </c:pt>
                <c:pt idx="37">
                  <c:v>-0.2999999999999976</c:v>
                </c:pt>
                <c:pt idx="38">
                  <c:v>-0.1999999999999976</c:v>
                </c:pt>
                <c:pt idx="39">
                  <c:v>-9.9999999999997591E-2</c:v>
                </c:pt>
                <c:pt idx="40">
                  <c:v>2.4147350785597155E-15</c:v>
                </c:pt>
                <c:pt idx="41">
                  <c:v>0.10000000000000242</c:v>
                </c:pt>
                <c:pt idx="42">
                  <c:v>0.20000000000000243</c:v>
                </c:pt>
                <c:pt idx="43">
                  <c:v>0.30000000000000243</c:v>
                </c:pt>
                <c:pt idx="44">
                  <c:v>0.40000000000000246</c:v>
                </c:pt>
                <c:pt idx="45">
                  <c:v>0.50000000000000244</c:v>
                </c:pt>
                <c:pt idx="46">
                  <c:v>0.60000000000000242</c:v>
                </c:pt>
                <c:pt idx="47">
                  <c:v>0.7000000000000024</c:v>
                </c:pt>
                <c:pt idx="48">
                  <c:v>0.80000000000000238</c:v>
                </c:pt>
                <c:pt idx="49">
                  <c:v>0.90000000000000235</c:v>
                </c:pt>
                <c:pt idx="50">
                  <c:v>1.0000000000000024</c:v>
                </c:pt>
                <c:pt idx="51">
                  <c:v>1.1000000000000025</c:v>
                </c:pt>
                <c:pt idx="52">
                  <c:v>1.2000000000000026</c:v>
                </c:pt>
                <c:pt idx="53">
                  <c:v>1.3000000000000027</c:v>
                </c:pt>
                <c:pt idx="54">
                  <c:v>1.4000000000000028</c:v>
                </c:pt>
                <c:pt idx="55">
                  <c:v>1.5000000000000029</c:v>
                </c:pt>
                <c:pt idx="56">
                  <c:v>1.600000000000003</c:v>
                </c:pt>
                <c:pt idx="57">
                  <c:v>1.7000000000000031</c:v>
                </c:pt>
                <c:pt idx="58">
                  <c:v>1.8000000000000032</c:v>
                </c:pt>
                <c:pt idx="59">
                  <c:v>1.9000000000000032</c:v>
                </c:pt>
                <c:pt idx="60">
                  <c:v>2.0000000000000031</c:v>
                </c:pt>
                <c:pt idx="61">
                  <c:v>2.1000000000000032</c:v>
                </c:pt>
                <c:pt idx="62">
                  <c:v>2.2000000000000033</c:v>
                </c:pt>
                <c:pt idx="63">
                  <c:v>2.3000000000000034</c:v>
                </c:pt>
                <c:pt idx="64">
                  <c:v>2.4000000000000035</c:v>
                </c:pt>
                <c:pt idx="65">
                  <c:v>2.5000000000000036</c:v>
                </c:pt>
                <c:pt idx="66">
                  <c:v>2.6000000000000036</c:v>
                </c:pt>
                <c:pt idx="67">
                  <c:v>2.7000000000000037</c:v>
                </c:pt>
                <c:pt idx="68">
                  <c:v>2.8000000000000038</c:v>
                </c:pt>
                <c:pt idx="69">
                  <c:v>2.9000000000000039</c:v>
                </c:pt>
                <c:pt idx="70">
                  <c:v>3.000000000000004</c:v>
                </c:pt>
                <c:pt idx="71">
                  <c:v>3.1000000000000041</c:v>
                </c:pt>
                <c:pt idx="72">
                  <c:v>3.2000000000000042</c:v>
                </c:pt>
                <c:pt idx="73">
                  <c:v>3.3000000000000043</c:v>
                </c:pt>
                <c:pt idx="74">
                  <c:v>3.4000000000000044</c:v>
                </c:pt>
                <c:pt idx="75">
                  <c:v>3.5000000000000044</c:v>
                </c:pt>
                <c:pt idx="76">
                  <c:v>3.6000000000000045</c:v>
                </c:pt>
                <c:pt idx="77">
                  <c:v>3.7000000000000046</c:v>
                </c:pt>
                <c:pt idx="78">
                  <c:v>3.8000000000000047</c:v>
                </c:pt>
                <c:pt idx="79">
                  <c:v>3.9000000000000048</c:v>
                </c:pt>
              </c:numCache>
            </c:numRef>
          </c:xVal>
          <c:yVal>
            <c:numRef>
              <c:f>Distributions!$C$94:$C$201</c:f>
              <c:numCache>
                <c:formatCode>0.000</c:formatCode>
                <c:ptCount val="108"/>
                <c:pt idx="0">
                  <c:v>1.3383022576488537E-4</c:v>
                </c:pt>
                <c:pt idx="1">
                  <c:v>1.9865547139277272E-4</c:v>
                </c:pt>
                <c:pt idx="2">
                  <c:v>2.9194692579146027E-4</c:v>
                </c:pt>
                <c:pt idx="3">
                  <c:v>4.2478027055075219E-4</c:v>
                </c:pt>
                <c:pt idx="4">
                  <c:v>6.1190193011377298E-4</c:v>
                </c:pt>
                <c:pt idx="5">
                  <c:v>8.7268269504576167E-4</c:v>
                </c:pt>
                <c:pt idx="6">
                  <c:v>1.232219168473021E-3</c:v>
                </c:pt>
                <c:pt idx="7">
                  <c:v>1.7225689390536843E-3</c:v>
                </c:pt>
                <c:pt idx="8">
                  <c:v>2.3840882014648486E-3</c:v>
                </c:pt>
                <c:pt idx="9">
                  <c:v>3.2668190561999273E-3</c:v>
                </c:pt>
                <c:pt idx="10">
                  <c:v>4.4318484119380188E-3</c:v>
                </c:pt>
                <c:pt idx="11">
                  <c:v>5.9525324197758694E-3</c:v>
                </c:pt>
                <c:pt idx="12">
                  <c:v>7.9154515829799894E-3</c:v>
                </c:pt>
                <c:pt idx="13">
                  <c:v>1.0420934814422628E-2</c:v>
                </c:pt>
                <c:pt idx="14">
                  <c:v>1.3582969233685661E-2</c:v>
                </c:pt>
                <c:pt idx="15">
                  <c:v>1.7528300493568599E-2</c:v>
                </c:pt>
                <c:pt idx="16">
                  <c:v>2.2394530294842969E-2</c:v>
                </c:pt>
                <c:pt idx="17">
                  <c:v>2.8327037741601276E-2</c:v>
                </c:pt>
                <c:pt idx="18">
                  <c:v>3.547459284623157E-2</c:v>
                </c:pt>
                <c:pt idx="19">
                  <c:v>4.3983595980427351E-2</c:v>
                </c:pt>
                <c:pt idx="20">
                  <c:v>5.399096651318825E-2</c:v>
                </c:pt>
                <c:pt idx="21">
                  <c:v>6.5615814774676831E-2</c:v>
                </c:pt>
                <c:pt idx="22">
                  <c:v>7.8950158300894427E-2</c:v>
                </c:pt>
                <c:pt idx="23">
                  <c:v>9.4049077376887252E-2</c:v>
                </c:pt>
                <c:pt idx="24">
                  <c:v>0.11092083467945592</c:v>
                </c:pt>
                <c:pt idx="25">
                  <c:v>0.12951759566589216</c:v>
                </c:pt>
                <c:pt idx="26">
                  <c:v>0.14972746563574535</c:v>
                </c:pt>
                <c:pt idx="27">
                  <c:v>0.17136859204780791</c:v>
                </c:pt>
                <c:pt idx="28">
                  <c:v>0.19418605498321354</c:v>
                </c:pt>
                <c:pt idx="29">
                  <c:v>0.21785217703255116</c:v>
                </c:pt>
                <c:pt idx="30">
                  <c:v>0.24197072451914398</c:v>
                </c:pt>
                <c:pt idx="31">
                  <c:v>0.26608524989875543</c:v>
                </c:pt>
                <c:pt idx="32">
                  <c:v>0.28969155276148334</c:v>
                </c:pt>
                <c:pt idx="33">
                  <c:v>0.31225393336676183</c:v>
                </c:pt>
                <c:pt idx="34">
                  <c:v>0.33322460289180011</c:v>
                </c:pt>
                <c:pt idx="35">
                  <c:v>0.35206532676429991</c:v>
                </c:pt>
                <c:pt idx="36">
                  <c:v>0.36827014030332367</c:v>
                </c:pt>
                <c:pt idx="37">
                  <c:v>0.38138781546052442</c:v>
                </c:pt>
                <c:pt idx="38">
                  <c:v>0.3910426939754561</c:v>
                </c:pt>
                <c:pt idx="39">
                  <c:v>0.39695254747701186</c:v>
                </c:pt>
                <c:pt idx="40">
                  <c:v>0.3989422804014327</c:v>
                </c:pt>
                <c:pt idx="41">
                  <c:v>0.3969525474770117</c:v>
                </c:pt>
                <c:pt idx="42">
                  <c:v>0.39104269397545571</c:v>
                </c:pt>
                <c:pt idx="43">
                  <c:v>0.3813878154605238</c:v>
                </c:pt>
                <c:pt idx="44">
                  <c:v>0.36827014030332295</c:v>
                </c:pt>
                <c:pt idx="45">
                  <c:v>0.35206532676429908</c:v>
                </c:pt>
                <c:pt idx="46">
                  <c:v>0.33322460289179917</c:v>
                </c:pt>
                <c:pt idx="47">
                  <c:v>0.31225393336676072</c:v>
                </c:pt>
                <c:pt idx="48">
                  <c:v>0.28969155276148217</c:v>
                </c:pt>
                <c:pt idx="49">
                  <c:v>0.26608524989875426</c:v>
                </c:pt>
                <c:pt idx="50">
                  <c:v>0.24197072451914278</c:v>
                </c:pt>
                <c:pt idx="51">
                  <c:v>0.21785217703254997</c:v>
                </c:pt>
                <c:pt idx="52">
                  <c:v>0.19418605498321231</c:v>
                </c:pt>
                <c:pt idx="53">
                  <c:v>0.17136859204780677</c:v>
                </c:pt>
                <c:pt idx="54">
                  <c:v>0.14972746563574427</c:v>
                </c:pt>
                <c:pt idx="55">
                  <c:v>0.12951759566589116</c:v>
                </c:pt>
                <c:pt idx="56">
                  <c:v>0.11092083467945503</c:v>
                </c:pt>
                <c:pt idx="57">
                  <c:v>9.4049077376886434E-2</c:v>
                </c:pt>
                <c:pt idx="58">
                  <c:v>7.8950158300893719E-2</c:v>
                </c:pt>
                <c:pt idx="59">
                  <c:v>6.5615814774676193E-2</c:v>
                </c:pt>
                <c:pt idx="60">
                  <c:v>5.3990966513187716E-2</c:v>
                </c:pt>
                <c:pt idx="61">
                  <c:v>4.39835959804269E-2</c:v>
                </c:pt>
                <c:pt idx="62">
                  <c:v>3.5474592846231189E-2</c:v>
                </c:pt>
                <c:pt idx="63">
                  <c:v>2.8327037741600961E-2</c:v>
                </c:pt>
                <c:pt idx="64">
                  <c:v>2.2394530294842712E-2</c:v>
                </c:pt>
                <c:pt idx="65">
                  <c:v>1.7528300493568381E-2</c:v>
                </c:pt>
                <c:pt idx="66">
                  <c:v>1.3582969233685486E-2</c:v>
                </c:pt>
                <c:pt idx="67">
                  <c:v>1.0420934814422488E-2</c:v>
                </c:pt>
                <c:pt idx="68">
                  <c:v>7.9154515829798801E-3</c:v>
                </c:pt>
                <c:pt idx="69">
                  <c:v>5.9525324197757853E-3</c:v>
                </c:pt>
                <c:pt idx="70">
                  <c:v>4.4318484119379529E-3</c:v>
                </c:pt>
                <c:pt idx="71">
                  <c:v>3.2668190561998783E-3</c:v>
                </c:pt>
                <c:pt idx="72">
                  <c:v>2.3840882014648105E-3</c:v>
                </c:pt>
                <c:pt idx="73">
                  <c:v>1.7225689390536552E-3</c:v>
                </c:pt>
                <c:pt idx="74">
                  <c:v>1.2322191684730013E-3</c:v>
                </c:pt>
                <c:pt idx="75">
                  <c:v>8.7268269504574606E-4</c:v>
                </c:pt>
                <c:pt idx="76">
                  <c:v>6.1190193011376214E-4</c:v>
                </c:pt>
                <c:pt idx="77">
                  <c:v>4.2478027055074428E-4</c:v>
                </c:pt>
                <c:pt idx="78">
                  <c:v>2.9194692579145507E-4</c:v>
                </c:pt>
                <c:pt idx="79">
                  <c:v>1.9865547139276881E-4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9D67-4F60-8E14-AC4DB89327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12401792"/>
        <c:axId val="1"/>
      </c:scatterChart>
      <c:valAx>
        <c:axId val="41240179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1400" b="1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412401792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xVal>
            <c:numRef>
              <c:f>Distributions!$B$296:$B$357</c:f>
              <c:numCache>
                <c:formatCode>0</c:formatCode>
                <c:ptCount val="6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</c:numCache>
            </c:numRef>
          </c:xVal>
          <c:yVal>
            <c:numRef>
              <c:f>Distributions!$C$296:$C$357</c:f>
              <c:numCache>
                <c:formatCode>0.00</c:formatCode>
                <c:ptCount val="62"/>
                <c:pt idx="0">
                  <c:v>7.8975346316749158E-4</c:v>
                </c:pt>
                <c:pt idx="1">
                  <c:v>7.6641550244050498E-3</c:v>
                </c:pt>
                <c:pt idx="2">
                  <c:v>2.3533259078154699E-2</c:v>
                </c:pt>
                <c:pt idx="3">
                  <c:v>4.5111761078870896E-2</c:v>
                </c:pt>
                <c:pt idx="4">
                  <c:v>6.6800942890542642E-2</c:v>
                </c:pt>
                <c:pt idx="5">
                  <c:v>8.4015677870770411E-2</c:v>
                </c:pt>
                <c:pt idx="6">
                  <c:v>9.4406142704409793E-2</c:v>
                </c:pt>
                <c:pt idx="7">
                  <c:v>9.7683407406582309E-2</c:v>
                </c:pt>
                <c:pt idx="8">
                  <c:v>9.4903810270062214E-2</c:v>
                </c:pt>
                <c:pt idx="9">
                  <c:v>8.7733684883925356E-2</c:v>
                </c:pt>
                <c:pt idx="10">
                  <c:v>7.7909401862698444E-2</c:v>
                </c:pt>
                <c:pt idx="11">
                  <c:v>6.6926308769991685E-2</c:v>
                </c:pt>
                <c:pt idx="12">
                  <c:v>5.5911102591969339E-2</c:v>
                </c:pt>
                <c:pt idx="13">
                  <c:v>4.561309581867487E-2</c:v>
                </c:pt>
                <c:pt idx="14">
                  <c:v>3.6458198227518335E-2</c:v>
                </c:pt>
                <c:pt idx="15">
                  <c:v>2.8626144247681017E-2</c:v>
                </c:pt>
                <c:pt idx="16">
                  <c:v>2.2127450062679698E-2</c:v>
                </c:pt>
                <c:pt idx="17">
                  <c:v>1.686857759609801E-2</c:v>
                </c:pt>
                <c:pt idx="18">
                  <c:v>1.2701517347389361E-2</c:v>
                </c:pt>
                <c:pt idx="19">
                  <c:v>9.4583187005176789E-3</c:v>
                </c:pt>
                <c:pt idx="20">
                  <c:v>6.9730679765471083E-3</c:v>
                </c:pt>
                <c:pt idx="21">
                  <c:v>5.0943666931247229E-3</c:v>
                </c:pt>
                <c:pt idx="22">
                  <c:v>3.6911660452271038E-3</c:v>
                </c:pt>
                <c:pt idx="23">
                  <c:v>2.6542997366377865E-3</c:v>
                </c:pt>
                <c:pt idx="24">
                  <c:v>1.8954738220614974E-3</c:v>
                </c:pt>
                <c:pt idx="25">
                  <c:v>1.3449430873497057E-3</c:v>
                </c:pt>
                <c:pt idx="26">
                  <c:v>9.4867691123313026E-4</c:v>
                </c:pt>
                <c:pt idx="27">
                  <c:v>6.6550015152255521E-4</c:v>
                </c:pt>
                <c:pt idx="28">
                  <c:v>4.6447333219879958E-4</c:v>
                </c:pt>
                <c:pt idx="29">
                  <c:v>3.2263135365426959E-4</c:v>
                </c:pt>
                <c:pt idx="30">
                  <c:v>2.2311105294198837E-4</c:v>
                </c:pt>
                <c:pt idx="31">
                  <c:v>1.5364802521669515E-4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9C60-405F-8472-D0372CCBA5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12586200"/>
        <c:axId val="1"/>
      </c:scatterChart>
      <c:valAx>
        <c:axId val="412586200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412586200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1"/>
          <c:order val="0"/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xVal>
            <c:numRef>
              <c:f>Distributions!$O$364:$O$463</c:f>
              <c:numCache>
                <c:formatCode>0.00</c:formatCode>
                <c:ptCount val="100"/>
                <c:pt idx="0">
                  <c:v>-4.9000000000000004</c:v>
                </c:pt>
                <c:pt idx="1">
                  <c:v>-4.8000000000000007</c:v>
                </c:pt>
                <c:pt idx="2">
                  <c:v>-4.7000000000000011</c:v>
                </c:pt>
                <c:pt idx="3">
                  <c:v>-4.6000000000000014</c:v>
                </c:pt>
                <c:pt idx="4">
                  <c:v>-4.5000000000000018</c:v>
                </c:pt>
                <c:pt idx="5">
                  <c:v>-4.4000000000000021</c:v>
                </c:pt>
                <c:pt idx="6">
                  <c:v>-4.3000000000000025</c:v>
                </c:pt>
                <c:pt idx="7">
                  <c:v>-4.2000000000000028</c:v>
                </c:pt>
                <c:pt idx="8">
                  <c:v>-4.1000000000000032</c:v>
                </c:pt>
                <c:pt idx="9">
                  <c:v>-4.0000000000000036</c:v>
                </c:pt>
                <c:pt idx="10">
                  <c:v>-3.9000000000000035</c:v>
                </c:pt>
                <c:pt idx="11">
                  <c:v>-3.8000000000000034</c:v>
                </c:pt>
                <c:pt idx="12">
                  <c:v>-3.7000000000000033</c:v>
                </c:pt>
                <c:pt idx="13">
                  <c:v>-3.6000000000000032</c:v>
                </c:pt>
                <c:pt idx="14">
                  <c:v>-3.5000000000000031</c:v>
                </c:pt>
                <c:pt idx="15">
                  <c:v>-3.400000000000003</c:v>
                </c:pt>
                <c:pt idx="16">
                  <c:v>-3.3000000000000029</c:v>
                </c:pt>
                <c:pt idx="17">
                  <c:v>-3.2000000000000028</c:v>
                </c:pt>
                <c:pt idx="18">
                  <c:v>-3.1000000000000028</c:v>
                </c:pt>
                <c:pt idx="19">
                  <c:v>-3.0000000000000027</c:v>
                </c:pt>
                <c:pt idx="20">
                  <c:v>-2.9000000000000026</c:v>
                </c:pt>
                <c:pt idx="21">
                  <c:v>-2.8000000000000025</c:v>
                </c:pt>
                <c:pt idx="22">
                  <c:v>-2.7000000000000024</c:v>
                </c:pt>
                <c:pt idx="23">
                  <c:v>-2.6000000000000023</c:v>
                </c:pt>
                <c:pt idx="24">
                  <c:v>-2.5000000000000022</c:v>
                </c:pt>
                <c:pt idx="25">
                  <c:v>-2.4000000000000021</c:v>
                </c:pt>
                <c:pt idx="26">
                  <c:v>-2.300000000000002</c:v>
                </c:pt>
                <c:pt idx="27">
                  <c:v>-2.200000000000002</c:v>
                </c:pt>
                <c:pt idx="28">
                  <c:v>-2.1000000000000019</c:v>
                </c:pt>
                <c:pt idx="29">
                  <c:v>-2.0000000000000018</c:v>
                </c:pt>
                <c:pt idx="30">
                  <c:v>-1.9000000000000017</c:v>
                </c:pt>
                <c:pt idx="31">
                  <c:v>-1.8000000000000016</c:v>
                </c:pt>
                <c:pt idx="32">
                  <c:v>-1.7000000000000015</c:v>
                </c:pt>
                <c:pt idx="33">
                  <c:v>-1.6000000000000014</c:v>
                </c:pt>
                <c:pt idx="34">
                  <c:v>-1.5000000000000013</c:v>
                </c:pt>
                <c:pt idx="35">
                  <c:v>-1.4000000000000012</c:v>
                </c:pt>
                <c:pt idx="36">
                  <c:v>-1.3000000000000012</c:v>
                </c:pt>
                <c:pt idx="37">
                  <c:v>-1.2000000000000011</c:v>
                </c:pt>
                <c:pt idx="38">
                  <c:v>-1.100000000000001</c:v>
                </c:pt>
                <c:pt idx="39">
                  <c:v>-1.0000000000000009</c:v>
                </c:pt>
                <c:pt idx="40">
                  <c:v>-0.90000000000000091</c:v>
                </c:pt>
                <c:pt idx="41">
                  <c:v>-0.80000000000000093</c:v>
                </c:pt>
                <c:pt idx="42">
                  <c:v>-0.70000000000000095</c:v>
                </c:pt>
                <c:pt idx="43">
                  <c:v>-0.60000000000000098</c:v>
                </c:pt>
                <c:pt idx="44">
                  <c:v>-0.500000000000001</c:v>
                </c:pt>
                <c:pt idx="45">
                  <c:v>-0.40000000000000102</c:v>
                </c:pt>
                <c:pt idx="46">
                  <c:v>-0.30000000000000104</c:v>
                </c:pt>
                <c:pt idx="47">
                  <c:v>-0.20000000000000104</c:v>
                </c:pt>
                <c:pt idx="48">
                  <c:v>-0.10000000000000103</c:v>
                </c:pt>
                <c:pt idx="49">
                  <c:v>-1.0269562977782698E-15</c:v>
                </c:pt>
                <c:pt idx="50">
                  <c:v>9.9999999999998979E-2</c:v>
                </c:pt>
                <c:pt idx="51">
                  <c:v>0.19999999999999898</c:v>
                </c:pt>
                <c:pt idx="52">
                  <c:v>0.29999999999999899</c:v>
                </c:pt>
                <c:pt idx="53">
                  <c:v>0.39999999999999902</c:v>
                </c:pt>
                <c:pt idx="54">
                  <c:v>0.499999999999999</c:v>
                </c:pt>
                <c:pt idx="55">
                  <c:v>0.59999999999999898</c:v>
                </c:pt>
                <c:pt idx="56">
                  <c:v>0.69999999999999896</c:v>
                </c:pt>
                <c:pt idx="57">
                  <c:v>0.79999999999999893</c:v>
                </c:pt>
                <c:pt idx="58">
                  <c:v>0.89999999999999891</c:v>
                </c:pt>
                <c:pt idx="59">
                  <c:v>0.99999999999999889</c:v>
                </c:pt>
                <c:pt idx="60">
                  <c:v>1.099999999999999</c:v>
                </c:pt>
                <c:pt idx="61">
                  <c:v>1.1999999999999991</c:v>
                </c:pt>
                <c:pt idx="62">
                  <c:v>1.2999999999999992</c:v>
                </c:pt>
                <c:pt idx="63">
                  <c:v>1.3999999999999992</c:v>
                </c:pt>
                <c:pt idx="64">
                  <c:v>1.4999999999999993</c:v>
                </c:pt>
                <c:pt idx="65">
                  <c:v>1.5999999999999994</c:v>
                </c:pt>
                <c:pt idx="66">
                  <c:v>1.6999999999999995</c:v>
                </c:pt>
                <c:pt idx="67">
                  <c:v>1.7999999999999996</c:v>
                </c:pt>
                <c:pt idx="68">
                  <c:v>1.8999999999999997</c:v>
                </c:pt>
                <c:pt idx="69">
                  <c:v>1.9999999999999998</c:v>
                </c:pt>
                <c:pt idx="70">
                  <c:v>2.0999999999999996</c:v>
                </c:pt>
                <c:pt idx="71">
                  <c:v>2.1999999999999997</c:v>
                </c:pt>
                <c:pt idx="72">
                  <c:v>2.2999999999999998</c:v>
                </c:pt>
                <c:pt idx="73">
                  <c:v>2.4</c:v>
                </c:pt>
                <c:pt idx="74">
                  <c:v>2.5</c:v>
                </c:pt>
                <c:pt idx="75">
                  <c:v>2.6</c:v>
                </c:pt>
                <c:pt idx="76">
                  <c:v>2.7</c:v>
                </c:pt>
                <c:pt idx="77">
                  <c:v>2.8000000000000003</c:v>
                </c:pt>
                <c:pt idx="78">
                  <c:v>2.9000000000000004</c:v>
                </c:pt>
                <c:pt idx="79">
                  <c:v>3.0000000000000004</c:v>
                </c:pt>
                <c:pt idx="80">
                  <c:v>3.1000000000000005</c:v>
                </c:pt>
                <c:pt idx="81">
                  <c:v>3.2000000000000006</c:v>
                </c:pt>
                <c:pt idx="82">
                  <c:v>3.3000000000000007</c:v>
                </c:pt>
                <c:pt idx="83">
                  <c:v>3.4000000000000008</c:v>
                </c:pt>
                <c:pt idx="84">
                  <c:v>3.5000000000000009</c:v>
                </c:pt>
                <c:pt idx="85">
                  <c:v>3.600000000000001</c:v>
                </c:pt>
                <c:pt idx="86">
                  <c:v>3.7000000000000011</c:v>
                </c:pt>
                <c:pt idx="87">
                  <c:v>3.8000000000000012</c:v>
                </c:pt>
                <c:pt idx="88">
                  <c:v>3.9000000000000012</c:v>
                </c:pt>
                <c:pt idx="89">
                  <c:v>4.0000000000000009</c:v>
                </c:pt>
                <c:pt idx="90">
                  <c:v>4.1000000000000005</c:v>
                </c:pt>
                <c:pt idx="91">
                  <c:v>4.2</c:v>
                </c:pt>
                <c:pt idx="92">
                  <c:v>4.3</c:v>
                </c:pt>
                <c:pt idx="93">
                  <c:v>4.3999999999999995</c:v>
                </c:pt>
                <c:pt idx="94">
                  <c:v>4.4999999999999991</c:v>
                </c:pt>
                <c:pt idx="95">
                  <c:v>4.5999999999999988</c:v>
                </c:pt>
                <c:pt idx="96">
                  <c:v>4.6999999999999984</c:v>
                </c:pt>
                <c:pt idx="97">
                  <c:v>4.799999999999998</c:v>
                </c:pt>
                <c:pt idx="98">
                  <c:v>4.8999999999999977</c:v>
                </c:pt>
                <c:pt idx="99">
                  <c:v>4.9999999999999973</c:v>
                </c:pt>
              </c:numCache>
            </c:numRef>
          </c:xVal>
          <c:yVal>
            <c:numRef>
              <c:f>Distributions!$P$364:$P$463</c:f>
              <c:numCache>
                <c:formatCode>0.00</c:formatCode>
                <c:ptCount val="100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6642-4028-88F3-73070F5ABC83}"/>
            </c:ext>
          </c:extLst>
        </c:ser>
        <c:ser>
          <c:idx val="2"/>
          <c:order val="1"/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xVal>
            <c:numRef>
              <c:f>Distributions!$O$364:$O$463</c:f>
              <c:numCache>
                <c:formatCode>0.00</c:formatCode>
                <c:ptCount val="100"/>
                <c:pt idx="0">
                  <c:v>-4.9000000000000004</c:v>
                </c:pt>
                <c:pt idx="1">
                  <c:v>-4.8000000000000007</c:v>
                </c:pt>
                <c:pt idx="2">
                  <c:v>-4.7000000000000011</c:v>
                </c:pt>
                <c:pt idx="3">
                  <c:v>-4.6000000000000014</c:v>
                </c:pt>
                <c:pt idx="4">
                  <c:v>-4.5000000000000018</c:v>
                </c:pt>
                <c:pt idx="5">
                  <c:v>-4.4000000000000021</c:v>
                </c:pt>
                <c:pt idx="6">
                  <c:v>-4.3000000000000025</c:v>
                </c:pt>
                <c:pt idx="7">
                  <c:v>-4.2000000000000028</c:v>
                </c:pt>
                <c:pt idx="8">
                  <c:v>-4.1000000000000032</c:v>
                </c:pt>
                <c:pt idx="9">
                  <c:v>-4.0000000000000036</c:v>
                </c:pt>
                <c:pt idx="10">
                  <c:v>-3.9000000000000035</c:v>
                </c:pt>
                <c:pt idx="11">
                  <c:v>-3.8000000000000034</c:v>
                </c:pt>
                <c:pt idx="12">
                  <c:v>-3.7000000000000033</c:v>
                </c:pt>
                <c:pt idx="13">
                  <c:v>-3.6000000000000032</c:v>
                </c:pt>
                <c:pt idx="14">
                  <c:v>-3.5000000000000031</c:v>
                </c:pt>
                <c:pt idx="15">
                  <c:v>-3.400000000000003</c:v>
                </c:pt>
                <c:pt idx="16">
                  <c:v>-3.3000000000000029</c:v>
                </c:pt>
                <c:pt idx="17">
                  <c:v>-3.2000000000000028</c:v>
                </c:pt>
                <c:pt idx="18">
                  <c:v>-3.1000000000000028</c:v>
                </c:pt>
                <c:pt idx="19">
                  <c:v>-3.0000000000000027</c:v>
                </c:pt>
                <c:pt idx="20">
                  <c:v>-2.9000000000000026</c:v>
                </c:pt>
                <c:pt idx="21">
                  <c:v>-2.8000000000000025</c:v>
                </c:pt>
                <c:pt idx="22">
                  <c:v>-2.7000000000000024</c:v>
                </c:pt>
                <c:pt idx="23">
                  <c:v>-2.6000000000000023</c:v>
                </c:pt>
                <c:pt idx="24">
                  <c:v>-2.5000000000000022</c:v>
                </c:pt>
                <c:pt idx="25">
                  <c:v>-2.4000000000000021</c:v>
                </c:pt>
                <c:pt idx="26">
                  <c:v>-2.300000000000002</c:v>
                </c:pt>
                <c:pt idx="27">
                  <c:v>-2.200000000000002</c:v>
                </c:pt>
                <c:pt idx="28">
                  <c:v>-2.1000000000000019</c:v>
                </c:pt>
                <c:pt idx="29">
                  <c:v>-2.0000000000000018</c:v>
                </c:pt>
                <c:pt idx="30">
                  <c:v>-1.9000000000000017</c:v>
                </c:pt>
                <c:pt idx="31">
                  <c:v>-1.8000000000000016</c:v>
                </c:pt>
                <c:pt idx="32">
                  <c:v>-1.7000000000000015</c:v>
                </c:pt>
                <c:pt idx="33">
                  <c:v>-1.6000000000000014</c:v>
                </c:pt>
                <c:pt idx="34">
                  <c:v>-1.5000000000000013</c:v>
                </c:pt>
                <c:pt idx="35">
                  <c:v>-1.4000000000000012</c:v>
                </c:pt>
                <c:pt idx="36">
                  <c:v>-1.3000000000000012</c:v>
                </c:pt>
                <c:pt idx="37">
                  <c:v>-1.2000000000000011</c:v>
                </c:pt>
                <c:pt idx="38">
                  <c:v>-1.100000000000001</c:v>
                </c:pt>
                <c:pt idx="39">
                  <c:v>-1.0000000000000009</c:v>
                </c:pt>
                <c:pt idx="40">
                  <c:v>-0.90000000000000091</c:v>
                </c:pt>
                <c:pt idx="41">
                  <c:v>-0.80000000000000093</c:v>
                </c:pt>
                <c:pt idx="42">
                  <c:v>-0.70000000000000095</c:v>
                </c:pt>
                <c:pt idx="43">
                  <c:v>-0.60000000000000098</c:v>
                </c:pt>
                <c:pt idx="44">
                  <c:v>-0.500000000000001</c:v>
                </c:pt>
                <c:pt idx="45">
                  <c:v>-0.40000000000000102</c:v>
                </c:pt>
                <c:pt idx="46">
                  <c:v>-0.30000000000000104</c:v>
                </c:pt>
                <c:pt idx="47">
                  <c:v>-0.20000000000000104</c:v>
                </c:pt>
                <c:pt idx="48">
                  <c:v>-0.10000000000000103</c:v>
                </c:pt>
                <c:pt idx="49">
                  <c:v>-1.0269562977782698E-15</c:v>
                </c:pt>
                <c:pt idx="50">
                  <c:v>9.9999999999998979E-2</c:v>
                </c:pt>
                <c:pt idx="51">
                  <c:v>0.19999999999999898</c:v>
                </c:pt>
                <c:pt idx="52">
                  <c:v>0.29999999999999899</c:v>
                </c:pt>
                <c:pt idx="53">
                  <c:v>0.39999999999999902</c:v>
                </c:pt>
                <c:pt idx="54">
                  <c:v>0.499999999999999</c:v>
                </c:pt>
                <c:pt idx="55">
                  <c:v>0.59999999999999898</c:v>
                </c:pt>
                <c:pt idx="56">
                  <c:v>0.69999999999999896</c:v>
                </c:pt>
                <c:pt idx="57">
                  <c:v>0.79999999999999893</c:v>
                </c:pt>
                <c:pt idx="58">
                  <c:v>0.89999999999999891</c:v>
                </c:pt>
                <c:pt idx="59">
                  <c:v>0.99999999999999889</c:v>
                </c:pt>
                <c:pt idx="60">
                  <c:v>1.099999999999999</c:v>
                </c:pt>
                <c:pt idx="61">
                  <c:v>1.1999999999999991</c:v>
                </c:pt>
                <c:pt idx="62">
                  <c:v>1.2999999999999992</c:v>
                </c:pt>
                <c:pt idx="63">
                  <c:v>1.3999999999999992</c:v>
                </c:pt>
                <c:pt idx="64">
                  <c:v>1.4999999999999993</c:v>
                </c:pt>
                <c:pt idx="65">
                  <c:v>1.5999999999999994</c:v>
                </c:pt>
                <c:pt idx="66">
                  <c:v>1.6999999999999995</c:v>
                </c:pt>
                <c:pt idx="67">
                  <c:v>1.7999999999999996</c:v>
                </c:pt>
                <c:pt idx="68">
                  <c:v>1.8999999999999997</c:v>
                </c:pt>
                <c:pt idx="69">
                  <c:v>1.9999999999999998</c:v>
                </c:pt>
                <c:pt idx="70">
                  <c:v>2.0999999999999996</c:v>
                </c:pt>
                <c:pt idx="71">
                  <c:v>2.1999999999999997</c:v>
                </c:pt>
                <c:pt idx="72">
                  <c:v>2.2999999999999998</c:v>
                </c:pt>
                <c:pt idx="73">
                  <c:v>2.4</c:v>
                </c:pt>
                <c:pt idx="74">
                  <c:v>2.5</c:v>
                </c:pt>
                <c:pt idx="75">
                  <c:v>2.6</c:v>
                </c:pt>
                <c:pt idx="76">
                  <c:v>2.7</c:v>
                </c:pt>
                <c:pt idx="77">
                  <c:v>2.8000000000000003</c:v>
                </c:pt>
                <c:pt idx="78">
                  <c:v>2.9000000000000004</c:v>
                </c:pt>
                <c:pt idx="79">
                  <c:v>3.0000000000000004</c:v>
                </c:pt>
                <c:pt idx="80">
                  <c:v>3.1000000000000005</c:v>
                </c:pt>
                <c:pt idx="81">
                  <c:v>3.2000000000000006</c:v>
                </c:pt>
                <c:pt idx="82">
                  <c:v>3.3000000000000007</c:v>
                </c:pt>
                <c:pt idx="83">
                  <c:v>3.4000000000000008</c:v>
                </c:pt>
                <c:pt idx="84">
                  <c:v>3.5000000000000009</c:v>
                </c:pt>
                <c:pt idx="85">
                  <c:v>3.600000000000001</c:v>
                </c:pt>
                <c:pt idx="86">
                  <c:v>3.7000000000000011</c:v>
                </c:pt>
                <c:pt idx="87">
                  <c:v>3.8000000000000012</c:v>
                </c:pt>
                <c:pt idx="88">
                  <c:v>3.9000000000000012</c:v>
                </c:pt>
                <c:pt idx="89">
                  <c:v>4.0000000000000009</c:v>
                </c:pt>
                <c:pt idx="90">
                  <c:v>4.1000000000000005</c:v>
                </c:pt>
                <c:pt idx="91">
                  <c:v>4.2</c:v>
                </c:pt>
                <c:pt idx="92">
                  <c:v>4.3</c:v>
                </c:pt>
                <c:pt idx="93">
                  <c:v>4.3999999999999995</c:v>
                </c:pt>
                <c:pt idx="94">
                  <c:v>4.4999999999999991</c:v>
                </c:pt>
                <c:pt idx="95">
                  <c:v>4.5999999999999988</c:v>
                </c:pt>
                <c:pt idx="96">
                  <c:v>4.6999999999999984</c:v>
                </c:pt>
                <c:pt idx="97">
                  <c:v>4.799999999999998</c:v>
                </c:pt>
                <c:pt idx="98">
                  <c:v>4.8999999999999977</c:v>
                </c:pt>
                <c:pt idx="99">
                  <c:v>4.9999999999999973</c:v>
                </c:pt>
              </c:numCache>
            </c:numRef>
          </c:xVal>
          <c:yVal>
            <c:numRef>
              <c:f>Distributions!$Q$364:$Q$463</c:f>
              <c:numCache>
                <c:formatCode>0.00</c:formatCode>
                <c:ptCount val="100"/>
                <c:pt idx="0">
                  <c:v>1.2727304525541407E-2</c:v>
                </c:pt>
                <c:pt idx="1">
                  <c:v>1.324084385123921E-2</c:v>
                </c:pt>
                <c:pt idx="2">
                  <c:v>1.3785616551918168E-2</c:v>
                </c:pt>
                <c:pt idx="3">
                  <c:v>1.4364164538979714E-2</c:v>
                </c:pt>
                <c:pt idx="4">
                  <c:v>1.497928876159014E-2</c:v>
                </c:pt>
                <c:pt idx="5">
                  <c:v>1.5634080853820745E-2</c:v>
                </c:pt>
                <c:pt idx="6">
                  <c:v>1.6331959270589551E-2</c:v>
                </c:pt>
                <c:pt idx="7">
                  <c:v>1.7076710632177586E-2</c:v>
                </c:pt>
                <c:pt idx="8">
                  <c:v>1.7872537124300404E-2</c:v>
                </c:pt>
                <c:pt idx="9">
                  <c:v>1.8724110951987658E-2</c:v>
                </c:pt>
                <c:pt idx="10">
                  <c:v>1.9636637025526843E-2</c:v>
                </c:pt>
                <c:pt idx="11">
                  <c:v>2.0615925270970864E-2</c:v>
                </c:pt>
                <c:pt idx="12">
                  <c:v>2.1668474212647389E-2</c:v>
                </c:pt>
                <c:pt idx="13">
                  <c:v>2.2801567778208465E-2</c:v>
                </c:pt>
                <c:pt idx="14">
                  <c:v>2.4023387636512468E-2</c:v>
                </c:pt>
                <c:pt idx="15">
                  <c:v>2.5343143804441894E-2</c:v>
                </c:pt>
                <c:pt idx="16">
                  <c:v>2.6771226760621544E-2</c:v>
                </c:pt>
                <c:pt idx="17">
                  <c:v>2.8319384891796279E-2</c:v>
                </c:pt>
                <c:pt idx="18">
                  <c:v>3.0000931779810572E-2</c:v>
                </c:pt>
                <c:pt idx="19">
                  <c:v>3.1830988618379019E-2</c:v>
                </c:pt>
                <c:pt idx="20">
                  <c:v>3.3826767926013836E-2</c:v>
                </c:pt>
                <c:pt idx="21">
                  <c:v>3.6007905676899342E-2</c:v>
                </c:pt>
                <c:pt idx="22">
                  <c:v>3.8396849961856473E-2</c:v>
                </c:pt>
                <c:pt idx="23">
                  <c:v>4.1019315229869867E-2</c:v>
                </c:pt>
                <c:pt idx="24">
                  <c:v>4.3904811887419341E-2</c:v>
                </c:pt>
                <c:pt idx="25">
                  <c:v>4.7087261269791451E-2</c:v>
                </c:pt>
                <c:pt idx="26">
                  <c:v>5.0605705275642315E-2</c:v>
                </c:pt>
                <c:pt idx="27">
                  <c:v>5.4505117497224351E-2</c:v>
                </c:pt>
                <c:pt idx="28">
                  <c:v>5.8837317224360482E-2</c:v>
                </c:pt>
                <c:pt idx="29">
                  <c:v>6.3661977236758038E-2</c:v>
                </c:pt>
                <c:pt idx="30">
                  <c:v>6.9047697653750587E-2</c:v>
                </c:pt>
                <c:pt idx="31">
                  <c:v>7.5073086364101482E-2</c:v>
                </c:pt>
                <c:pt idx="32">
                  <c:v>8.1827734237478217E-2</c:v>
                </c:pt>
                <c:pt idx="33">
                  <c:v>8.9412889377469176E-2</c:v>
                </c:pt>
                <c:pt idx="34">
                  <c:v>9.7941503441166242E-2</c:v>
                </c:pt>
                <c:pt idx="35">
                  <c:v>0.10753712371073997</c:v>
                </c:pt>
                <c:pt idx="36">
                  <c:v>0.11833081270772876</c:v>
                </c:pt>
                <c:pt idx="37">
                  <c:v>0.13045487138679931</c:v>
                </c:pt>
                <c:pt idx="38">
                  <c:v>0.14403162270759745</c:v>
                </c:pt>
                <c:pt idx="39">
                  <c:v>0.15915494309189521</c:v>
                </c:pt>
                <c:pt idx="40">
                  <c:v>0.17586181557115491</c:v>
                </c:pt>
                <c:pt idx="41">
                  <c:v>0.19409139401450634</c:v>
                </c:pt>
                <c:pt idx="42">
                  <c:v>0.21363079609650365</c:v>
                </c:pt>
                <c:pt idx="43">
                  <c:v>0.23405138689984589</c:v>
                </c:pt>
                <c:pt idx="44">
                  <c:v>0.25464790894703238</c:v>
                </c:pt>
                <c:pt idx="45">
                  <c:v>0.27440507429637107</c:v>
                </c:pt>
                <c:pt idx="46">
                  <c:v>0.29202741851723901</c:v>
                </c:pt>
                <c:pt idx="47">
                  <c:v>0.30606719825364476</c:v>
                </c:pt>
                <c:pt idx="48">
                  <c:v>0.31515830315226795</c:v>
                </c:pt>
                <c:pt idx="49">
                  <c:v>0.31830988618379069</c:v>
                </c:pt>
                <c:pt idx="50">
                  <c:v>0.31515830315226806</c:v>
                </c:pt>
                <c:pt idx="51">
                  <c:v>0.30606719825364498</c:v>
                </c:pt>
                <c:pt idx="52">
                  <c:v>0.29202741851723935</c:v>
                </c:pt>
                <c:pt idx="53">
                  <c:v>0.27440507429637145</c:v>
                </c:pt>
                <c:pt idx="54">
                  <c:v>0.25464790894703271</c:v>
                </c:pt>
                <c:pt idx="55">
                  <c:v>0.23405138689984631</c:v>
                </c:pt>
                <c:pt idx="56">
                  <c:v>0.21363079609650404</c:v>
                </c:pt>
                <c:pt idx="57">
                  <c:v>0.1940913940145067</c:v>
                </c:pt>
                <c:pt idx="58">
                  <c:v>0.17586181557115527</c:v>
                </c:pt>
                <c:pt idx="59">
                  <c:v>0.15915494309189551</c:v>
                </c:pt>
                <c:pt idx="60">
                  <c:v>0.14403162270759776</c:v>
                </c:pt>
                <c:pt idx="61">
                  <c:v>0.13045487138679959</c:v>
                </c:pt>
                <c:pt idx="62">
                  <c:v>0.11833081270772898</c:v>
                </c:pt>
                <c:pt idx="63">
                  <c:v>0.10753712371074017</c:v>
                </c:pt>
                <c:pt idx="64">
                  <c:v>9.7941503441166422E-2</c:v>
                </c:pt>
                <c:pt idx="65">
                  <c:v>8.9412889377469329E-2</c:v>
                </c:pt>
                <c:pt idx="66">
                  <c:v>8.1827734237478356E-2</c:v>
                </c:pt>
                <c:pt idx="67">
                  <c:v>7.5073086364101607E-2</c:v>
                </c:pt>
                <c:pt idx="68">
                  <c:v>6.9047697653750698E-2</c:v>
                </c:pt>
                <c:pt idx="69">
                  <c:v>6.3661977236758149E-2</c:v>
                </c:pt>
                <c:pt idx="70">
                  <c:v>5.8837317224360586E-2</c:v>
                </c:pt>
                <c:pt idx="71">
                  <c:v>5.4505117497224448E-2</c:v>
                </c:pt>
                <c:pt idx="72">
                  <c:v>5.0605705275642406E-2</c:v>
                </c:pt>
                <c:pt idx="73">
                  <c:v>4.7087261269791521E-2</c:v>
                </c:pt>
                <c:pt idx="74">
                  <c:v>4.3904811887419404E-2</c:v>
                </c:pt>
                <c:pt idx="75">
                  <c:v>4.1019315229869929E-2</c:v>
                </c:pt>
                <c:pt idx="76">
                  <c:v>3.8396849961856529E-2</c:v>
                </c:pt>
                <c:pt idx="77">
                  <c:v>3.600790567689939E-2</c:v>
                </c:pt>
                <c:pt idx="78">
                  <c:v>3.3826767926013884E-2</c:v>
                </c:pt>
                <c:pt idx="79">
                  <c:v>3.1830988618379061E-2</c:v>
                </c:pt>
                <c:pt idx="80">
                  <c:v>3.000093177981061E-2</c:v>
                </c:pt>
                <c:pt idx="81">
                  <c:v>2.8319384891796313E-2</c:v>
                </c:pt>
                <c:pt idx="82">
                  <c:v>2.6771226760621582E-2</c:v>
                </c:pt>
                <c:pt idx="83">
                  <c:v>2.5343143804441921E-2</c:v>
                </c:pt>
                <c:pt idx="84">
                  <c:v>2.4023387636512492E-2</c:v>
                </c:pt>
                <c:pt idx="85">
                  <c:v>2.2801567778208489E-2</c:v>
                </c:pt>
                <c:pt idx="86">
                  <c:v>2.1668474212647414E-2</c:v>
                </c:pt>
                <c:pt idx="87">
                  <c:v>2.0615925270970888E-2</c:v>
                </c:pt>
                <c:pt idx="88">
                  <c:v>1.9636637025526867E-2</c:v>
                </c:pt>
                <c:pt idx="89">
                  <c:v>1.8724110951987678E-2</c:v>
                </c:pt>
                <c:pt idx="90">
                  <c:v>1.7872537124300425E-2</c:v>
                </c:pt>
                <c:pt idx="91">
                  <c:v>1.7076710632177611E-2</c:v>
                </c:pt>
                <c:pt idx="92">
                  <c:v>1.6331959270589568E-2</c:v>
                </c:pt>
                <c:pt idx="93">
                  <c:v>1.5634080853820762E-2</c:v>
                </c:pt>
                <c:pt idx="94">
                  <c:v>1.4979288761590156E-2</c:v>
                </c:pt>
                <c:pt idx="95">
                  <c:v>1.4364164538979731E-2</c:v>
                </c:pt>
                <c:pt idx="96">
                  <c:v>1.3785616551918185E-2</c:v>
                </c:pt>
                <c:pt idx="97">
                  <c:v>1.3240843851239224E-2</c:v>
                </c:pt>
                <c:pt idx="98">
                  <c:v>1.2727304525541423E-2</c:v>
                </c:pt>
                <c:pt idx="99">
                  <c:v>1.224268793014581E-2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6642-4028-88F3-73070F5ABC83}"/>
            </c:ext>
          </c:extLst>
        </c:ser>
        <c:ser>
          <c:idx val="3"/>
          <c:order val="2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Distributions!$O$364:$O$463</c:f>
              <c:numCache>
                <c:formatCode>0.00</c:formatCode>
                <c:ptCount val="100"/>
                <c:pt idx="0">
                  <c:v>-4.9000000000000004</c:v>
                </c:pt>
                <c:pt idx="1">
                  <c:v>-4.8000000000000007</c:v>
                </c:pt>
                <c:pt idx="2">
                  <c:v>-4.7000000000000011</c:v>
                </c:pt>
                <c:pt idx="3">
                  <c:v>-4.6000000000000014</c:v>
                </c:pt>
                <c:pt idx="4">
                  <c:v>-4.5000000000000018</c:v>
                </c:pt>
                <c:pt idx="5">
                  <c:v>-4.4000000000000021</c:v>
                </c:pt>
                <c:pt idx="6">
                  <c:v>-4.3000000000000025</c:v>
                </c:pt>
                <c:pt idx="7">
                  <c:v>-4.2000000000000028</c:v>
                </c:pt>
                <c:pt idx="8">
                  <c:v>-4.1000000000000032</c:v>
                </c:pt>
                <c:pt idx="9">
                  <c:v>-4.0000000000000036</c:v>
                </c:pt>
                <c:pt idx="10">
                  <c:v>-3.9000000000000035</c:v>
                </c:pt>
                <c:pt idx="11">
                  <c:v>-3.8000000000000034</c:v>
                </c:pt>
                <c:pt idx="12">
                  <c:v>-3.7000000000000033</c:v>
                </c:pt>
                <c:pt idx="13">
                  <c:v>-3.6000000000000032</c:v>
                </c:pt>
                <c:pt idx="14">
                  <c:v>-3.5000000000000031</c:v>
                </c:pt>
                <c:pt idx="15">
                  <c:v>-3.400000000000003</c:v>
                </c:pt>
                <c:pt idx="16">
                  <c:v>-3.3000000000000029</c:v>
                </c:pt>
                <c:pt idx="17">
                  <c:v>-3.2000000000000028</c:v>
                </c:pt>
                <c:pt idx="18">
                  <c:v>-3.1000000000000028</c:v>
                </c:pt>
                <c:pt idx="19">
                  <c:v>-3.0000000000000027</c:v>
                </c:pt>
                <c:pt idx="20">
                  <c:v>-2.9000000000000026</c:v>
                </c:pt>
                <c:pt idx="21">
                  <c:v>-2.8000000000000025</c:v>
                </c:pt>
                <c:pt idx="22">
                  <c:v>-2.7000000000000024</c:v>
                </c:pt>
                <c:pt idx="23">
                  <c:v>-2.6000000000000023</c:v>
                </c:pt>
                <c:pt idx="24">
                  <c:v>-2.5000000000000022</c:v>
                </c:pt>
                <c:pt idx="25">
                  <c:v>-2.4000000000000021</c:v>
                </c:pt>
                <c:pt idx="26">
                  <c:v>-2.300000000000002</c:v>
                </c:pt>
                <c:pt idx="27">
                  <c:v>-2.200000000000002</c:v>
                </c:pt>
                <c:pt idx="28">
                  <c:v>-2.1000000000000019</c:v>
                </c:pt>
                <c:pt idx="29">
                  <c:v>-2.0000000000000018</c:v>
                </c:pt>
                <c:pt idx="30">
                  <c:v>-1.9000000000000017</c:v>
                </c:pt>
                <c:pt idx="31">
                  <c:v>-1.8000000000000016</c:v>
                </c:pt>
                <c:pt idx="32">
                  <c:v>-1.7000000000000015</c:v>
                </c:pt>
                <c:pt idx="33">
                  <c:v>-1.6000000000000014</c:v>
                </c:pt>
                <c:pt idx="34">
                  <c:v>-1.5000000000000013</c:v>
                </c:pt>
                <c:pt idx="35">
                  <c:v>-1.4000000000000012</c:v>
                </c:pt>
                <c:pt idx="36">
                  <c:v>-1.3000000000000012</c:v>
                </c:pt>
                <c:pt idx="37">
                  <c:v>-1.2000000000000011</c:v>
                </c:pt>
                <c:pt idx="38">
                  <c:v>-1.100000000000001</c:v>
                </c:pt>
                <c:pt idx="39">
                  <c:v>-1.0000000000000009</c:v>
                </c:pt>
                <c:pt idx="40">
                  <c:v>-0.90000000000000091</c:v>
                </c:pt>
                <c:pt idx="41">
                  <c:v>-0.80000000000000093</c:v>
                </c:pt>
                <c:pt idx="42">
                  <c:v>-0.70000000000000095</c:v>
                </c:pt>
                <c:pt idx="43">
                  <c:v>-0.60000000000000098</c:v>
                </c:pt>
                <c:pt idx="44">
                  <c:v>-0.500000000000001</c:v>
                </c:pt>
                <c:pt idx="45">
                  <c:v>-0.40000000000000102</c:v>
                </c:pt>
                <c:pt idx="46">
                  <c:v>-0.30000000000000104</c:v>
                </c:pt>
                <c:pt idx="47">
                  <c:v>-0.20000000000000104</c:v>
                </c:pt>
                <c:pt idx="48">
                  <c:v>-0.10000000000000103</c:v>
                </c:pt>
                <c:pt idx="49">
                  <c:v>-1.0269562977782698E-15</c:v>
                </c:pt>
                <c:pt idx="50">
                  <c:v>9.9999999999998979E-2</c:v>
                </c:pt>
                <c:pt idx="51">
                  <c:v>0.19999999999999898</c:v>
                </c:pt>
                <c:pt idx="52">
                  <c:v>0.29999999999999899</c:v>
                </c:pt>
                <c:pt idx="53">
                  <c:v>0.39999999999999902</c:v>
                </c:pt>
                <c:pt idx="54">
                  <c:v>0.499999999999999</c:v>
                </c:pt>
                <c:pt idx="55">
                  <c:v>0.59999999999999898</c:v>
                </c:pt>
                <c:pt idx="56">
                  <c:v>0.69999999999999896</c:v>
                </c:pt>
                <c:pt idx="57">
                  <c:v>0.79999999999999893</c:v>
                </c:pt>
                <c:pt idx="58">
                  <c:v>0.89999999999999891</c:v>
                </c:pt>
                <c:pt idx="59">
                  <c:v>0.99999999999999889</c:v>
                </c:pt>
                <c:pt idx="60">
                  <c:v>1.099999999999999</c:v>
                </c:pt>
                <c:pt idx="61">
                  <c:v>1.1999999999999991</c:v>
                </c:pt>
                <c:pt idx="62">
                  <c:v>1.2999999999999992</c:v>
                </c:pt>
                <c:pt idx="63">
                  <c:v>1.3999999999999992</c:v>
                </c:pt>
                <c:pt idx="64">
                  <c:v>1.4999999999999993</c:v>
                </c:pt>
                <c:pt idx="65">
                  <c:v>1.5999999999999994</c:v>
                </c:pt>
                <c:pt idx="66">
                  <c:v>1.6999999999999995</c:v>
                </c:pt>
                <c:pt idx="67">
                  <c:v>1.7999999999999996</c:v>
                </c:pt>
                <c:pt idx="68">
                  <c:v>1.8999999999999997</c:v>
                </c:pt>
                <c:pt idx="69">
                  <c:v>1.9999999999999998</c:v>
                </c:pt>
                <c:pt idx="70">
                  <c:v>2.0999999999999996</c:v>
                </c:pt>
                <c:pt idx="71">
                  <c:v>2.1999999999999997</c:v>
                </c:pt>
                <c:pt idx="72">
                  <c:v>2.2999999999999998</c:v>
                </c:pt>
                <c:pt idx="73">
                  <c:v>2.4</c:v>
                </c:pt>
                <c:pt idx="74">
                  <c:v>2.5</c:v>
                </c:pt>
                <c:pt idx="75">
                  <c:v>2.6</c:v>
                </c:pt>
                <c:pt idx="76">
                  <c:v>2.7</c:v>
                </c:pt>
                <c:pt idx="77">
                  <c:v>2.8000000000000003</c:v>
                </c:pt>
                <c:pt idx="78">
                  <c:v>2.9000000000000004</c:v>
                </c:pt>
                <c:pt idx="79">
                  <c:v>3.0000000000000004</c:v>
                </c:pt>
                <c:pt idx="80">
                  <c:v>3.1000000000000005</c:v>
                </c:pt>
                <c:pt idx="81">
                  <c:v>3.2000000000000006</c:v>
                </c:pt>
                <c:pt idx="82">
                  <c:v>3.3000000000000007</c:v>
                </c:pt>
                <c:pt idx="83">
                  <c:v>3.4000000000000008</c:v>
                </c:pt>
                <c:pt idx="84">
                  <c:v>3.5000000000000009</c:v>
                </c:pt>
                <c:pt idx="85">
                  <c:v>3.600000000000001</c:v>
                </c:pt>
                <c:pt idx="86">
                  <c:v>3.7000000000000011</c:v>
                </c:pt>
                <c:pt idx="87">
                  <c:v>3.8000000000000012</c:v>
                </c:pt>
                <c:pt idx="88">
                  <c:v>3.9000000000000012</c:v>
                </c:pt>
                <c:pt idx="89">
                  <c:v>4.0000000000000009</c:v>
                </c:pt>
                <c:pt idx="90">
                  <c:v>4.1000000000000005</c:v>
                </c:pt>
                <c:pt idx="91">
                  <c:v>4.2</c:v>
                </c:pt>
                <c:pt idx="92">
                  <c:v>4.3</c:v>
                </c:pt>
                <c:pt idx="93">
                  <c:v>4.3999999999999995</c:v>
                </c:pt>
                <c:pt idx="94">
                  <c:v>4.4999999999999991</c:v>
                </c:pt>
                <c:pt idx="95">
                  <c:v>4.5999999999999988</c:v>
                </c:pt>
                <c:pt idx="96">
                  <c:v>4.6999999999999984</c:v>
                </c:pt>
                <c:pt idx="97">
                  <c:v>4.799999999999998</c:v>
                </c:pt>
                <c:pt idx="98">
                  <c:v>4.8999999999999977</c:v>
                </c:pt>
                <c:pt idx="99">
                  <c:v>4.9999999999999973</c:v>
                </c:pt>
              </c:numCache>
            </c:numRef>
          </c:xVal>
          <c:yVal>
            <c:numRef>
              <c:f>Distributions!$R$364:$R$463</c:f>
              <c:numCache>
                <c:formatCode>0.00</c:formatCode>
                <c:ptCount val="100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6642-4028-88F3-73070F5ABC83}"/>
            </c:ext>
          </c:extLst>
        </c:ser>
        <c:ser>
          <c:idx val="0"/>
          <c:order val="3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Distributions!$O$364:$O$463</c:f>
              <c:numCache>
                <c:formatCode>0.00</c:formatCode>
                <c:ptCount val="100"/>
                <c:pt idx="0">
                  <c:v>-4.9000000000000004</c:v>
                </c:pt>
                <c:pt idx="1">
                  <c:v>-4.8000000000000007</c:v>
                </c:pt>
                <c:pt idx="2">
                  <c:v>-4.7000000000000011</c:v>
                </c:pt>
                <c:pt idx="3">
                  <c:v>-4.6000000000000014</c:v>
                </c:pt>
                <c:pt idx="4">
                  <c:v>-4.5000000000000018</c:v>
                </c:pt>
                <c:pt idx="5">
                  <c:v>-4.4000000000000021</c:v>
                </c:pt>
                <c:pt idx="6">
                  <c:v>-4.3000000000000025</c:v>
                </c:pt>
                <c:pt idx="7">
                  <c:v>-4.2000000000000028</c:v>
                </c:pt>
                <c:pt idx="8">
                  <c:v>-4.1000000000000032</c:v>
                </c:pt>
                <c:pt idx="9">
                  <c:v>-4.0000000000000036</c:v>
                </c:pt>
                <c:pt idx="10">
                  <c:v>-3.9000000000000035</c:v>
                </c:pt>
                <c:pt idx="11">
                  <c:v>-3.8000000000000034</c:v>
                </c:pt>
                <c:pt idx="12">
                  <c:v>-3.7000000000000033</c:v>
                </c:pt>
                <c:pt idx="13">
                  <c:v>-3.6000000000000032</c:v>
                </c:pt>
                <c:pt idx="14">
                  <c:v>-3.5000000000000031</c:v>
                </c:pt>
                <c:pt idx="15">
                  <c:v>-3.400000000000003</c:v>
                </c:pt>
                <c:pt idx="16">
                  <c:v>-3.3000000000000029</c:v>
                </c:pt>
                <c:pt idx="17">
                  <c:v>-3.2000000000000028</c:v>
                </c:pt>
                <c:pt idx="18">
                  <c:v>-3.1000000000000028</c:v>
                </c:pt>
                <c:pt idx="19">
                  <c:v>-3.0000000000000027</c:v>
                </c:pt>
                <c:pt idx="20">
                  <c:v>-2.9000000000000026</c:v>
                </c:pt>
                <c:pt idx="21">
                  <c:v>-2.8000000000000025</c:v>
                </c:pt>
                <c:pt idx="22">
                  <c:v>-2.7000000000000024</c:v>
                </c:pt>
                <c:pt idx="23">
                  <c:v>-2.6000000000000023</c:v>
                </c:pt>
                <c:pt idx="24">
                  <c:v>-2.5000000000000022</c:v>
                </c:pt>
                <c:pt idx="25">
                  <c:v>-2.4000000000000021</c:v>
                </c:pt>
                <c:pt idx="26">
                  <c:v>-2.300000000000002</c:v>
                </c:pt>
                <c:pt idx="27">
                  <c:v>-2.200000000000002</c:v>
                </c:pt>
                <c:pt idx="28">
                  <c:v>-2.1000000000000019</c:v>
                </c:pt>
                <c:pt idx="29">
                  <c:v>-2.0000000000000018</c:v>
                </c:pt>
                <c:pt idx="30">
                  <c:v>-1.9000000000000017</c:v>
                </c:pt>
                <c:pt idx="31">
                  <c:v>-1.8000000000000016</c:v>
                </c:pt>
                <c:pt idx="32">
                  <c:v>-1.7000000000000015</c:v>
                </c:pt>
                <c:pt idx="33">
                  <c:v>-1.6000000000000014</c:v>
                </c:pt>
                <c:pt idx="34">
                  <c:v>-1.5000000000000013</c:v>
                </c:pt>
                <c:pt idx="35">
                  <c:v>-1.4000000000000012</c:v>
                </c:pt>
                <c:pt idx="36">
                  <c:v>-1.3000000000000012</c:v>
                </c:pt>
                <c:pt idx="37">
                  <c:v>-1.2000000000000011</c:v>
                </c:pt>
                <c:pt idx="38">
                  <c:v>-1.100000000000001</c:v>
                </c:pt>
                <c:pt idx="39">
                  <c:v>-1.0000000000000009</c:v>
                </c:pt>
                <c:pt idx="40">
                  <c:v>-0.90000000000000091</c:v>
                </c:pt>
                <c:pt idx="41">
                  <c:v>-0.80000000000000093</c:v>
                </c:pt>
                <c:pt idx="42">
                  <c:v>-0.70000000000000095</c:v>
                </c:pt>
                <c:pt idx="43">
                  <c:v>-0.60000000000000098</c:v>
                </c:pt>
                <c:pt idx="44">
                  <c:v>-0.500000000000001</c:v>
                </c:pt>
                <c:pt idx="45">
                  <c:v>-0.40000000000000102</c:v>
                </c:pt>
                <c:pt idx="46">
                  <c:v>-0.30000000000000104</c:v>
                </c:pt>
                <c:pt idx="47">
                  <c:v>-0.20000000000000104</c:v>
                </c:pt>
                <c:pt idx="48">
                  <c:v>-0.10000000000000103</c:v>
                </c:pt>
                <c:pt idx="49">
                  <c:v>-1.0269562977782698E-15</c:v>
                </c:pt>
                <c:pt idx="50">
                  <c:v>9.9999999999998979E-2</c:v>
                </c:pt>
                <c:pt idx="51">
                  <c:v>0.19999999999999898</c:v>
                </c:pt>
                <c:pt idx="52">
                  <c:v>0.29999999999999899</c:v>
                </c:pt>
                <c:pt idx="53">
                  <c:v>0.39999999999999902</c:v>
                </c:pt>
                <c:pt idx="54">
                  <c:v>0.499999999999999</c:v>
                </c:pt>
                <c:pt idx="55">
                  <c:v>0.59999999999999898</c:v>
                </c:pt>
                <c:pt idx="56">
                  <c:v>0.69999999999999896</c:v>
                </c:pt>
                <c:pt idx="57">
                  <c:v>0.79999999999999893</c:v>
                </c:pt>
                <c:pt idx="58">
                  <c:v>0.89999999999999891</c:v>
                </c:pt>
                <c:pt idx="59">
                  <c:v>0.99999999999999889</c:v>
                </c:pt>
                <c:pt idx="60">
                  <c:v>1.099999999999999</c:v>
                </c:pt>
                <c:pt idx="61">
                  <c:v>1.1999999999999991</c:v>
                </c:pt>
                <c:pt idx="62">
                  <c:v>1.2999999999999992</c:v>
                </c:pt>
                <c:pt idx="63">
                  <c:v>1.3999999999999992</c:v>
                </c:pt>
                <c:pt idx="64">
                  <c:v>1.4999999999999993</c:v>
                </c:pt>
                <c:pt idx="65">
                  <c:v>1.5999999999999994</c:v>
                </c:pt>
                <c:pt idx="66">
                  <c:v>1.6999999999999995</c:v>
                </c:pt>
                <c:pt idx="67">
                  <c:v>1.7999999999999996</c:v>
                </c:pt>
                <c:pt idx="68">
                  <c:v>1.8999999999999997</c:v>
                </c:pt>
                <c:pt idx="69">
                  <c:v>1.9999999999999998</c:v>
                </c:pt>
                <c:pt idx="70">
                  <c:v>2.0999999999999996</c:v>
                </c:pt>
                <c:pt idx="71">
                  <c:v>2.1999999999999997</c:v>
                </c:pt>
                <c:pt idx="72">
                  <c:v>2.2999999999999998</c:v>
                </c:pt>
                <c:pt idx="73">
                  <c:v>2.4</c:v>
                </c:pt>
                <c:pt idx="74">
                  <c:v>2.5</c:v>
                </c:pt>
                <c:pt idx="75">
                  <c:v>2.6</c:v>
                </c:pt>
                <c:pt idx="76">
                  <c:v>2.7</c:v>
                </c:pt>
                <c:pt idx="77">
                  <c:v>2.8000000000000003</c:v>
                </c:pt>
                <c:pt idx="78">
                  <c:v>2.9000000000000004</c:v>
                </c:pt>
                <c:pt idx="79">
                  <c:v>3.0000000000000004</c:v>
                </c:pt>
                <c:pt idx="80">
                  <c:v>3.1000000000000005</c:v>
                </c:pt>
                <c:pt idx="81">
                  <c:v>3.2000000000000006</c:v>
                </c:pt>
                <c:pt idx="82">
                  <c:v>3.3000000000000007</c:v>
                </c:pt>
                <c:pt idx="83">
                  <c:v>3.4000000000000008</c:v>
                </c:pt>
                <c:pt idx="84">
                  <c:v>3.5000000000000009</c:v>
                </c:pt>
                <c:pt idx="85">
                  <c:v>3.600000000000001</c:v>
                </c:pt>
                <c:pt idx="86">
                  <c:v>3.7000000000000011</c:v>
                </c:pt>
                <c:pt idx="87">
                  <c:v>3.8000000000000012</c:v>
                </c:pt>
                <c:pt idx="88">
                  <c:v>3.9000000000000012</c:v>
                </c:pt>
                <c:pt idx="89">
                  <c:v>4.0000000000000009</c:v>
                </c:pt>
                <c:pt idx="90">
                  <c:v>4.1000000000000005</c:v>
                </c:pt>
                <c:pt idx="91">
                  <c:v>4.2</c:v>
                </c:pt>
                <c:pt idx="92">
                  <c:v>4.3</c:v>
                </c:pt>
                <c:pt idx="93">
                  <c:v>4.3999999999999995</c:v>
                </c:pt>
                <c:pt idx="94">
                  <c:v>4.4999999999999991</c:v>
                </c:pt>
                <c:pt idx="95">
                  <c:v>4.5999999999999988</c:v>
                </c:pt>
                <c:pt idx="96">
                  <c:v>4.6999999999999984</c:v>
                </c:pt>
                <c:pt idx="97">
                  <c:v>4.799999999999998</c:v>
                </c:pt>
                <c:pt idx="98">
                  <c:v>4.8999999999999977</c:v>
                </c:pt>
                <c:pt idx="99">
                  <c:v>4.9999999999999973</c:v>
                </c:pt>
              </c:numCache>
            </c:numRef>
          </c:xVal>
          <c:yVal>
            <c:numRef>
              <c:f>Distributions!$S$364:$S$463</c:f>
              <c:numCache>
                <c:formatCode>0.00</c:formatCode>
                <c:ptCount val="100"/>
                <c:pt idx="0">
                  <c:v>9.9772125556130657E-5</c:v>
                </c:pt>
                <c:pt idx="1">
                  <c:v>1.2607815260492052E-4</c:v>
                </c:pt>
                <c:pt idx="2">
                  <c:v>1.5937488122949925E-4</c:v>
                </c:pt>
                <c:pt idx="3">
                  <c:v>2.0151494044364589E-4</c:v>
                </c:pt>
                <c:pt idx="4">
                  <c:v>2.5483366783358535E-4</c:v>
                </c:pt>
                <c:pt idx="5">
                  <c:v>3.2227020253405592E-4</c:v>
                </c:pt>
                <c:pt idx="6">
                  <c:v>4.0751680997292469E-4</c:v>
                </c:pt>
                <c:pt idx="7">
                  <c:v>5.1520211777581241E-4</c:v>
                </c:pt>
                <c:pt idx="8">
                  <c:v>6.511147163637944E-4</c:v>
                </c:pt>
                <c:pt idx="9">
                  <c:v>8.224743001331332E-4</c:v>
                </c:pt>
                <c:pt idx="10">
                  <c:v>1.0382581078689939E-3</c:v>
                </c:pt>
                <c:pt idx="11">
                  <c:v>1.3095907391567668E-3</c:v>
                </c:pt>
                <c:pt idx="12">
                  <c:v>1.6502053059587736E-3</c:v>
                </c:pt>
                <c:pt idx="13">
                  <c:v>2.0769830997114948E-3</c:v>
                </c:pt>
                <c:pt idx="14">
                  <c:v>2.6105772275963257E-3</c:v>
                </c:pt>
                <c:pt idx="15">
                  <c:v>3.2761226464425256E-3</c:v>
                </c:pt>
                <c:pt idx="16">
                  <c:v>4.1040302887850643E-3</c:v>
                </c:pt>
                <c:pt idx="17">
                  <c:v>5.1308560784475822E-3</c:v>
                </c:pt>
                <c:pt idx="18">
                  <c:v>6.4002261055124115E-3</c:v>
                </c:pt>
                <c:pt idx="19">
                  <c:v>7.9637866461806147E-3</c:v>
                </c:pt>
                <c:pt idx="20">
                  <c:v>9.8821317664986742E-3</c:v>
                </c:pt>
                <c:pt idx="21">
                  <c:v>1.2225641868022486E-2</c:v>
                </c:pt>
                <c:pt idx="22">
                  <c:v>1.5075144023375658E-2</c:v>
                </c:pt>
                <c:pt idx="23">
                  <c:v>1.8522280164803041E-2</c:v>
                </c:pt>
                <c:pt idx="24">
                  <c:v>2.266944371914479E-2</c:v>
                </c:pt>
                <c:pt idx="25">
                  <c:v>2.7629121628762278E-2</c:v>
                </c:pt>
                <c:pt idx="26">
                  <c:v>3.3522460396149756E-2</c:v>
                </c:pt>
                <c:pt idx="27">
                  <c:v>4.0476866433134084E-2</c:v>
                </c:pt>
                <c:pt idx="28">
                  <c:v>4.8622458084184458E-2</c:v>
                </c:pt>
                <c:pt idx="29">
                  <c:v>5.8087215247356785E-2</c:v>
                </c:pt>
                <c:pt idx="30">
                  <c:v>6.8990728389136641E-2</c:v>
                </c:pt>
                <c:pt idx="31">
                  <c:v>8.1436536616818073E-2</c:v>
                </c:pt>
                <c:pt idx="32">
                  <c:v>9.5503166527465169E-2</c:v>
                </c:pt>
                <c:pt idx="33">
                  <c:v>0.1112341380223049</c:v>
                </c:pt>
                <c:pt idx="34">
                  <c:v>0.12862738297214579</c:v>
                </c:pt>
                <c:pt idx="35">
                  <c:v>0.14762471385403783</c:v>
                </c:pt>
                <c:pt idx="36">
                  <c:v>0.16810216172910783</c:v>
                </c:pt>
                <c:pt idx="37">
                  <c:v>0.18986214967139031</c:v>
                </c:pt>
                <c:pt idx="38">
                  <c:v>0.21262854877263246</c:v>
                </c:pt>
                <c:pt idx="39">
                  <c:v>0.23604564912670073</c:v>
                </c:pt>
                <c:pt idx="40">
                  <c:v>0.25968194316548465</c:v>
                </c:pt>
                <c:pt idx="41">
                  <c:v>0.28303935016011433</c:v>
                </c:pt>
                <c:pt idx="42">
                  <c:v>0.30556811230187098</c:v>
                </c:pt>
                <c:pt idx="43">
                  <c:v>0.32668708895620452</c:v>
                </c:pt>
                <c:pt idx="44">
                  <c:v>0.34580861238374155</c:v>
                </c:pt>
                <c:pt idx="45">
                  <c:v>0.36236650966936129</c:v>
                </c:pt>
                <c:pt idx="46">
                  <c:v>0.37584541676808364</c:v>
                </c:pt>
                <c:pt idx="47">
                  <c:v>0.38580918607411924</c:v>
                </c:pt>
                <c:pt idx="48">
                  <c:v>0.39192608003344526</c:v>
                </c:pt>
                <c:pt idx="49">
                  <c:v>0.39398858571143264</c:v>
                </c:pt>
                <c:pt idx="50">
                  <c:v>0.39192608003344537</c:v>
                </c:pt>
                <c:pt idx="51">
                  <c:v>0.38580918607411935</c:v>
                </c:pt>
                <c:pt idx="52">
                  <c:v>0.37584541676808386</c:v>
                </c:pt>
                <c:pt idx="53">
                  <c:v>0.36236650966936162</c:v>
                </c:pt>
                <c:pt idx="54">
                  <c:v>0.34580861238374194</c:v>
                </c:pt>
                <c:pt idx="55">
                  <c:v>0.32668708895620496</c:v>
                </c:pt>
                <c:pt idx="56">
                  <c:v>0.30556811230187136</c:v>
                </c:pt>
                <c:pt idx="57">
                  <c:v>0.28303935016011478</c:v>
                </c:pt>
                <c:pt idx="58">
                  <c:v>0.25968194316548504</c:v>
                </c:pt>
                <c:pt idx="59">
                  <c:v>0.23604564912670128</c:v>
                </c:pt>
                <c:pt idx="60">
                  <c:v>0.21262854877263299</c:v>
                </c:pt>
                <c:pt idx="61">
                  <c:v>0.18986214967139073</c:v>
                </c:pt>
                <c:pt idx="62">
                  <c:v>0.16810216172910825</c:v>
                </c:pt>
                <c:pt idx="63">
                  <c:v>0.14762471385403822</c:v>
                </c:pt>
                <c:pt idx="64">
                  <c:v>0.12862738297214618</c:v>
                </c:pt>
                <c:pt idx="65">
                  <c:v>0.11123413802230521</c:v>
                </c:pt>
                <c:pt idx="66">
                  <c:v>9.5503166527465447E-2</c:v>
                </c:pt>
                <c:pt idx="67">
                  <c:v>8.143653661681835E-2</c:v>
                </c:pt>
                <c:pt idx="68">
                  <c:v>6.8990728389136877E-2</c:v>
                </c:pt>
                <c:pt idx="69">
                  <c:v>5.8087215247357001E-2</c:v>
                </c:pt>
                <c:pt idx="70">
                  <c:v>4.862245808418466E-2</c:v>
                </c:pt>
                <c:pt idx="71">
                  <c:v>4.0476866433134251E-2</c:v>
                </c:pt>
                <c:pt idx="72">
                  <c:v>3.3522460396149908E-2</c:v>
                </c:pt>
                <c:pt idx="73">
                  <c:v>2.7629121628762382E-2</c:v>
                </c:pt>
                <c:pt idx="74">
                  <c:v>2.2669443719144873E-2</c:v>
                </c:pt>
                <c:pt idx="75">
                  <c:v>1.8522280164803128E-2</c:v>
                </c:pt>
                <c:pt idx="76">
                  <c:v>1.5075144023375718E-2</c:v>
                </c:pt>
                <c:pt idx="77">
                  <c:v>1.2225641868022547E-2</c:v>
                </c:pt>
                <c:pt idx="78">
                  <c:v>9.8821317664987158E-3</c:v>
                </c:pt>
                <c:pt idx="79">
                  <c:v>7.9637866461806511E-3</c:v>
                </c:pt>
                <c:pt idx="80">
                  <c:v>6.400226105512441E-3</c:v>
                </c:pt>
                <c:pt idx="81">
                  <c:v>5.1308560784476031E-3</c:v>
                </c:pt>
                <c:pt idx="82">
                  <c:v>4.1040302887850807E-3</c:v>
                </c:pt>
                <c:pt idx="83">
                  <c:v>3.2761226464425378E-3</c:v>
                </c:pt>
                <c:pt idx="84">
                  <c:v>2.610577227596343E-3</c:v>
                </c:pt>
                <c:pt idx="85">
                  <c:v>2.0769830997115031E-3</c:v>
                </c:pt>
                <c:pt idx="86">
                  <c:v>1.6502053059587816E-3</c:v>
                </c:pt>
                <c:pt idx="87">
                  <c:v>1.3095907391567744E-3</c:v>
                </c:pt>
                <c:pt idx="88">
                  <c:v>1.0382581078689996E-3</c:v>
                </c:pt>
                <c:pt idx="89">
                  <c:v>8.2247430013313797E-4</c:v>
                </c:pt>
                <c:pt idx="90">
                  <c:v>6.511147163637957E-4</c:v>
                </c:pt>
                <c:pt idx="91">
                  <c:v>5.1520211777581534E-4</c:v>
                </c:pt>
                <c:pt idx="92">
                  <c:v>4.0751680997292583E-4</c:v>
                </c:pt>
                <c:pt idx="93">
                  <c:v>3.2227020253405825E-4</c:v>
                </c:pt>
                <c:pt idx="94">
                  <c:v>2.5483366783358682E-4</c:v>
                </c:pt>
                <c:pt idx="95">
                  <c:v>2.01514940443647E-4</c:v>
                </c:pt>
                <c:pt idx="96">
                  <c:v>1.5937488122950045E-4</c:v>
                </c:pt>
                <c:pt idx="97">
                  <c:v>1.26078152604921E-4</c:v>
                </c:pt>
                <c:pt idx="98">
                  <c:v>9.9772125556131375E-5</c:v>
                </c:pt>
                <c:pt idx="99">
                  <c:v>7.8989106244035825E-5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6642-4028-88F3-73070F5ABC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12582264"/>
        <c:axId val="1"/>
      </c:scatterChart>
      <c:valAx>
        <c:axId val="4125822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412582264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.xml"/><Relationship Id="rId13" Type="http://schemas.openxmlformats.org/officeDocument/2006/relationships/chart" Target="../charts/chart11.xml"/><Relationship Id="rId18" Type="http://schemas.openxmlformats.org/officeDocument/2006/relationships/chart" Target="../charts/chart16.xml"/><Relationship Id="rId3" Type="http://schemas.openxmlformats.org/officeDocument/2006/relationships/image" Target="../media/image1.png"/><Relationship Id="rId21" Type="http://schemas.openxmlformats.org/officeDocument/2006/relationships/image" Target="../media/image3.png"/><Relationship Id="rId7" Type="http://schemas.openxmlformats.org/officeDocument/2006/relationships/image" Target="../media/image2.png"/><Relationship Id="rId12" Type="http://schemas.openxmlformats.org/officeDocument/2006/relationships/chart" Target="../charts/chart10.xml"/><Relationship Id="rId17" Type="http://schemas.openxmlformats.org/officeDocument/2006/relationships/chart" Target="../charts/chart15.xml"/><Relationship Id="rId2" Type="http://schemas.openxmlformats.org/officeDocument/2006/relationships/chart" Target="../charts/chart2.xml"/><Relationship Id="rId16" Type="http://schemas.openxmlformats.org/officeDocument/2006/relationships/chart" Target="../charts/chart14.xml"/><Relationship Id="rId20" Type="http://schemas.openxmlformats.org/officeDocument/2006/relationships/chart" Target="../charts/chart18.xml"/><Relationship Id="rId1" Type="http://schemas.openxmlformats.org/officeDocument/2006/relationships/chart" Target="../charts/chart1.xml"/><Relationship Id="rId6" Type="http://schemas.openxmlformats.org/officeDocument/2006/relationships/chart" Target="../charts/chart5.xml"/><Relationship Id="rId11" Type="http://schemas.openxmlformats.org/officeDocument/2006/relationships/chart" Target="../charts/chart9.xml"/><Relationship Id="rId5" Type="http://schemas.openxmlformats.org/officeDocument/2006/relationships/chart" Target="../charts/chart4.xml"/><Relationship Id="rId15" Type="http://schemas.openxmlformats.org/officeDocument/2006/relationships/chart" Target="../charts/chart13.xml"/><Relationship Id="rId10" Type="http://schemas.openxmlformats.org/officeDocument/2006/relationships/chart" Target="../charts/chart8.xml"/><Relationship Id="rId19" Type="http://schemas.openxmlformats.org/officeDocument/2006/relationships/chart" Target="../charts/chart17.xml"/><Relationship Id="rId4" Type="http://schemas.openxmlformats.org/officeDocument/2006/relationships/chart" Target="../charts/chart3.xml"/><Relationship Id="rId9" Type="http://schemas.openxmlformats.org/officeDocument/2006/relationships/chart" Target="../charts/chart7.xml"/><Relationship Id="rId14" Type="http://schemas.openxmlformats.org/officeDocument/2006/relationships/chart" Target="../charts/chart12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1.xml"/><Relationship Id="rId2" Type="http://schemas.openxmlformats.org/officeDocument/2006/relationships/chart" Target="../charts/chart20.xml"/><Relationship Id="rId1" Type="http://schemas.openxmlformats.org/officeDocument/2006/relationships/chart" Target="../charts/chart19.xml"/><Relationship Id="rId4" Type="http://schemas.openxmlformats.org/officeDocument/2006/relationships/chart" Target="../charts/chart22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chart" Target="../charts/chart27.xml"/><Relationship Id="rId1" Type="http://schemas.openxmlformats.org/officeDocument/2006/relationships/chart" Target="../charts/chart26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9.xml"/><Relationship Id="rId1" Type="http://schemas.openxmlformats.org/officeDocument/2006/relationships/chart" Target="../charts/chart2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171450</xdr:colOff>
      <xdr:row>6</xdr:row>
      <xdr:rowOff>19050</xdr:rowOff>
    </xdr:from>
    <xdr:to>
      <xdr:col>15</xdr:col>
      <xdr:colOff>219075</xdr:colOff>
      <xdr:row>23</xdr:row>
      <xdr:rowOff>9525</xdr:rowOff>
    </xdr:to>
    <xdr:graphicFrame macro="">
      <xdr:nvGraphicFramePr>
        <xdr:cNvPr id="6145" name="Chart 2">
          <a:extLst>
            <a:ext uri="{FF2B5EF4-FFF2-40B4-BE49-F238E27FC236}">
              <a16:creationId xmlns:a16="http://schemas.microsoft.com/office/drawing/2014/main" id="{75A7CD71-5203-4EBF-AB6A-98F86EE5C5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228600</xdr:colOff>
      <xdr:row>6</xdr:row>
      <xdr:rowOff>38100</xdr:rowOff>
    </xdr:from>
    <xdr:to>
      <xdr:col>22</xdr:col>
      <xdr:colOff>600075</xdr:colOff>
      <xdr:row>23</xdr:row>
      <xdr:rowOff>19050</xdr:rowOff>
    </xdr:to>
    <xdr:graphicFrame macro="">
      <xdr:nvGraphicFramePr>
        <xdr:cNvPr id="6146" name="Chart 3">
          <a:extLst>
            <a:ext uri="{FF2B5EF4-FFF2-40B4-BE49-F238E27FC236}">
              <a16:creationId xmlns:a16="http://schemas.microsoft.com/office/drawing/2014/main" id="{1E7E9F24-2123-460C-A666-B9E5C9B296E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6</xdr:col>
      <xdr:colOff>466725</xdr:colOff>
      <xdr:row>26</xdr:row>
      <xdr:rowOff>57150</xdr:rowOff>
    </xdr:from>
    <xdr:to>
      <xdr:col>15</xdr:col>
      <xdr:colOff>9525</xdr:colOff>
      <xdr:row>47</xdr:row>
      <xdr:rowOff>0</xdr:rowOff>
    </xdr:to>
    <xdr:pic>
      <xdr:nvPicPr>
        <xdr:cNvPr id="6147" name="Picture 4">
          <a:extLst>
            <a:ext uri="{FF2B5EF4-FFF2-40B4-BE49-F238E27FC236}">
              <a16:creationId xmlns:a16="http://schemas.microsoft.com/office/drawing/2014/main" id="{160537D9-255A-434D-AC5F-A048058DE8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6725" y="4267200"/>
          <a:ext cx="5029200" cy="3343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18</xdr:col>
      <xdr:colOff>371475</xdr:colOff>
      <xdr:row>8</xdr:row>
      <xdr:rowOff>123825</xdr:rowOff>
    </xdr:from>
    <xdr:to>
      <xdr:col>18</xdr:col>
      <xdr:colOff>381000</xdr:colOff>
      <xdr:row>24</xdr:row>
      <xdr:rowOff>85725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AA6D0033-621D-4825-A835-684AB4193149}"/>
            </a:ext>
          </a:extLst>
        </xdr:cNvPr>
        <xdr:cNvCxnSpPr/>
      </xdr:nvCxnSpPr>
      <xdr:spPr>
        <a:xfrm>
          <a:off x="11344275" y="1419225"/>
          <a:ext cx="9525" cy="25527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400050</xdr:colOff>
      <xdr:row>51</xdr:row>
      <xdr:rowOff>28575</xdr:rowOff>
    </xdr:from>
    <xdr:to>
      <xdr:col>17</xdr:col>
      <xdr:colOff>171450</xdr:colOff>
      <xdr:row>68</xdr:row>
      <xdr:rowOff>133350</xdr:rowOff>
    </xdr:to>
    <xdr:graphicFrame macro="">
      <xdr:nvGraphicFramePr>
        <xdr:cNvPr id="6149" name="Chart 5">
          <a:extLst>
            <a:ext uri="{FF2B5EF4-FFF2-40B4-BE49-F238E27FC236}">
              <a16:creationId xmlns:a16="http://schemas.microsoft.com/office/drawing/2014/main" id="{332DE138-82DB-4CAB-AFD4-ACCC535CC95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247650</xdr:colOff>
      <xdr:row>178</xdr:row>
      <xdr:rowOff>9525</xdr:rowOff>
    </xdr:from>
    <xdr:to>
      <xdr:col>18</xdr:col>
      <xdr:colOff>247650</xdr:colOff>
      <xdr:row>202</xdr:row>
      <xdr:rowOff>114300</xdr:rowOff>
    </xdr:to>
    <xdr:graphicFrame macro="">
      <xdr:nvGraphicFramePr>
        <xdr:cNvPr id="6150" name="Chart 7">
          <a:extLst>
            <a:ext uri="{FF2B5EF4-FFF2-40B4-BE49-F238E27FC236}">
              <a16:creationId xmlns:a16="http://schemas.microsoft.com/office/drawing/2014/main" id="{E81CCBB3-0056-4198-BBAF-19CC167B2C7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0</xdr:colOff>
      <xdr:row>251</xdr:row>
      <xdr:rowOff>104775</xdr:rowOff>
    </xdr:from>
    <xdr:to>
      <xdr:col>16</xdr:col>
      <xdr:colOff>57150</xdr:colOff>
      <xdr:row>274</xdr:row>
      <xdr:rowOff>38100</xdr:rowOff>
    </xdr:to>
    <xdr:graphicFrame macro="">
      <xdr:nvGraphicFramePr>
        <xdr:cNvPr id="6151" name="Chart 8">
          <a:extLst>
            <a:ext uri="{FF2B5EF4-FFF2-40B4-BE49-F238E27FC236}">
              <a16:creationId xmlns:a16="http://schemas.microsoft.com/office/drawing/2014/main" id="{588422B5-EAF7-43C9-9965-9258BF51D7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4</xdr:col>
      <xdr:colOff>161925</xdr:colOff>
      <xdr:row>210</xdr:row>
      <xdr:rowOff>66675</xdr:rowOff>
    </xdr:from>
    <xdr:to>
      <xdr:col>14</xdr:col>
      <xdr:colOff>352425</xdr:colOff>
      <xdr:row>231</xdr:row>
      <xdr:rowOff>95250</xdr:rowOff>
    </xdr:to>
    <xdr:pic>
      <xdr:nvPicPr>
        <xdr:cNvPr id="6152" name="Picture 10">
          <a:extLst>
            <a:ext uri="{FF2B5EF4-FFF2-40B4-BE49-F238E27FC236}">
              <a16:creationId xmlns:a16="http://schemas.microsoft.com/office/drawing/2014/main" id="{0973482A-26CC-46BE-86C9-AF9D28DBEE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00325" y="34089975"/>
          <a:ext cx="6438900" cy="3429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27</xdr:col>
      <xdr:colOff>38100</xdr:colOff>
      <xdr:row>108</xdr:row>
      <xdr:rowOff>85725</xdr:rowOff>
    </xdr:from>
    <xdr:to>
      <xdr:col>29</xdr:col>
      <xdr:colOff>457200</xdr:colOff>
      <xdr:row>108</xdr:row>
      <xdr:rowOff>85725</xdr:rowOff>
    </xdr:to>
    <xdr:cxnSp macro="">
      <xdr:nvCxnSpPr>
        <xdr:cNvPr id="14" name="Straight Arrow Connector 13">
          <a:extLst>
            <a:ext uri="{FF2B5EF4-FFF2-40B4-BE49-F238E27FC236}">
              <a16:creationId xmlns:a16="http://schemas.microsoft.com/office/drawing/2014/main" id="{AF3C609E-E9A7-44D7-8870-251871725F69}"/>
            </a:ext>
          </a:extLst>
        </xdr:cNvPr>
        <xdr:cNvCxnSpPr/>
      </xdr:nvCxnSpPr>
      <xdr:spPr>
        <a:xfrm flipV="1">
          <a:off x="16411575" y="17592675"/>
          <a:ext cx="1371600" cy="0"/>
        </a:xfrm>
        <a:prstGeom prst="straightConnector1">
          <a:avLst/>
        </a:prstGeom>
        <a:ln w="508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266700</xdr:colOff>
      <xdr:row>85</xdr:row>
      <xdr:rowOff>38100</xdr:rowOff>
    </xdr:from>
    <xdr:to>
      <xdr:col>30</xdr:col>
      <xdr:colOff>285750</xdr:colOff>
      <xdr:row>107</xdr:row>
      <xdr:rowOff>133350</xdr:rowOff>
    </xdr:to>
    <xdr:cxnSp macro="">
      <xdr:nvCxnSpPr>
        <xdr:cNvPr id="15" name="Straight Arrow Connector 14">
          <a:extLst>
            <a:ext uri="{FF2B5EF4-FFF2-40B4-BE49-F238E27FC236}">
              <a16:creationId xmlns:a16="http://schemas.microsoft.com/office/drawing/2014/main" id="{A49BEBD7-2DCD-4C3A-B51D-6E11EC01050E}"/>
            </a:ext>
          </a:extLst>
        </xdr:cNvPr>
        <xdr:cNvCxnSpPr/>
      </xdr:nvCxnSpPr>
      <xdr:spPr>
        <a:xfrm flipH="1">
          <a:off x="18068925" y="13820775"/>
          <a:ext cx="19050" cy="3657600"/>
        </a:xfrm>
        <a:prstGeom prst="straightConnector1">
          <a:avLst/>
        </a:prstGeom>
        <a:ln w="508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9526</xdr:colOff>
      <xdr:row>101</xdr:row>
      <xdr:rowOff>76201</xdr:rowOff>
    </xdr:from>
    <xdr:to>
      <xdr:col>30</xdr:col>
      <xdr:colOff>447675</xdr:colOff>
      <xdr:row>101</xdr:row>
      <xdr:rowOff>76201</xdr:rowOff>
    </xdr:to>
    <xdr:cxnSp macro="">
      <xdr:nvCxnSpPr>
        <xdr:cNvPr id="18" name="Straight Arrow Connector 17">
          <a:extLst>
            <a:ext uri="{FF2B5EF4-FFF2-40B4-BE49-F238E27FC236}">
              <a16:creationId xmlns:a16="http://schemas.microsoft.com/office/drawing/2014/main" id="{7E0CDCC7-7EAD-470F-B37E-CF43F9E948CC}"/>
            </a:ext>
          </a:extLst>
        </xdr:cNvPr>
        <xdr:cNvCxnSpPr/>
      </xdr:nvCxnSpPr>
      <xdr:spPr>
        <a:xfrm flipH="1" flipV="1">
          <a:off x="16383001" y="16449676"/>
          <a:ext cx="1866899" cy="0"/>
        </a:xfrm>
        <a:prstGeom prst="straightConnector1">
          <a:avLst/>
        </a:prstGeom>
        <a:ln w="50800">
          <a:solidFill>
            <a:schemeClr val="accent5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0</xdr:colOff>
      <xdr:row>84</xdr:row>
      <xdr:rowOff>152400</xdr:rowOff>
    </xdr:from>
    <xdr:to>
      <xdr:col>32</xdr:col>
      <xdr:colOff>19050</xdr:colOff>
      <xdr:row>100</xdr:row>
      <xdr:rowOff>123825</xdr:rowOff>
    </xdr:to>
    <xdr:cxnSp macro="">
      <xdr:nvCxnSpPr>
        <xdr:cNvPr id="21" name="Straight Arrow Connector 20">
          <a:extLst>
            <a:ext uri="{FF2B5EF4-FFF2-40B4-BE49-F238E27FC236}">
              <a16:creationId xmlns:a16="http://schemas.microsoft.com/office/drawing/2014/main" id="{715FF487-66B3-468D-A48B-59C97BCCBBD2}"/>
            </a:ext>
          </a:extLst>
        </xdr:cNvPr>
        <xdr:cNvCxnSpPr/>
      </xdr:nvCxnSpPr>
      <xdr:spPr>
        <a:xfrm flipH="1" flipV="1">
          <a:off x="18754725" y="13754100"/>
          <a:ext cx="19050" cy="2581275"/>
        </a:xfrm>
        <a:prstGeom prst="straightConnector1">
          <a:avLst/>
        </a:prstGeom>
        <a:ln w="50800">
          <a:solidFill>
            <a:schemeClr val="accent5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438150</xdr:colOff>
      <xdr:row>131</xdr:row>
      <xdr:rowOff>38100</xdr:rowOff>
    </xdr:from>
    <xdr:to>
      <xdr:col>35</xdr:col>
      <xdr:colOff>228600</xdr:colOff>
      <xdr:row>154</xdr:row>
      <xdr:rowOff>104775</xdr:rowOff>
    </xdr:to>
    <xdr:graphicFrame macro="">
      <xdr:nvGraphicFramePr>
        <xdr:cNvPr id="6157" name="Chart 23">
          <a:extLst>
            <a:ext uri="{FF2B5EF4-FFF2-40B4-BE49-F238E27FC236}">
              <a16:creationId xmlns:a16="http://schemas.microsoft.com/office/drawing/2014/main" id="{5FBB7320-E01C-4EDB-8328-B6D6286BF7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11</xdr:col>
      <xdr:colOff>190500</xdr:colOff>
      <xdr:row>143</xdr:row>
      <xdr:rowOff>133350</xdr:rowOff>
    </xdr:from>
    <xdr:to>
      <xdr:col>23</xdr:col>
      <xdr:colOff>104775</xdr:colOff>
      <xdr:row>168</xdr:row>
      <xdr:rowOff>85725</xdr:rowOff>
    </xdr:to>
    <xdr:graphicFrame macro="">
      <xdr:nvGraphicFramePr>
        <xdr:cNvPr id="6158" name="Chart 24">
          <a:extLst>
            <a:ext uri="{FF2B5EF4-FFF2-40B4-BE49-F238E27FC236}">
              <a16:creationId xmlns:a16="http://schemas.microsoft.com/office/drawing/2014/main" id="{C762BF9C-903F-49EB-8C47-2348556A3F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17</xdr:col>
      <xdr:colOff>168088</xdr:colOff>
      <xdr:row>134</xdr:row>
      <xdr:rowOff>44824</xdr:rowOff>
    </xdr:from>
    <xdr:to>
      <xdr:col>27</xdr:col>
      <xdr:colOff>369794</xdr:colOff>
      <xdr:row>147</xdr:row>
      <xdr:rowOff>0</xdr:rowOff>
    </xdr:to>
    <xdr:cxnSp macro="">
      <xdr:nvCxnSpPr>
        <xdr:cNvPr id="27" name="Straight Arrow Connector 26">
          <a:extLst>
            <a:ext uri="{FF2B5EF4-FFF2-40B4-BE49-F238E27FC236}">
              <a16:creationId xmlns:a16="http://schemas.microsoft.com/office/drawing/2014/main" id="{F13BD723-3746-41CF-905A-3CD87E29D990}"/>
            </a:ext>
          </a:extLst>
        </xdr:cNvPr>
        <xdr:cNvCxnSpPr/>
      </xdr:nvCxnSpPr>
      <xdr:spPr>
        <a:xfrm flipH="1">
          <a:off x="10455088" y="21089471"/>
          <a:ext cx="6174441" cy="1994647"/>
        </a:xfrm>
        <a:prstGeom prst="straightConnector1">
          <a:avLst/>
        </a:prstGeom>
        <a:ln>
          <a:solidFill>
            <a:srgbClr val="FF0000"/>
          </a:solidFill>
          <a:prstDash val="dash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246529</xdr:colOff>
      <xdr:row>141</xdr:row>
      <xdr:rowOff>67235</xdr:rowOff>
    </xdr:from>
    <xdr:to>
      <xdr:col>29</xdr:col>
      <xdr:colOff>224119</xdr:colOff>
      <xdr:row>154</xdr:row>
      <xdr:rowOff>100853</xdr:rowOff>
    </xdr:to>
    <xdr:cxnSp macro="">
      <xdr:nvCxnSpPr>
        <xdr:cNvPr id="28" name="Straight Arrow Connector 27">
          <a:extLst>
            <a:ext uri="{FF2B5EF4-FFF2-40B4-BE49-F238E27FC236}">
              <a16:creationId xmlns:a16="http://schemas.microsoft.com/office/drawing/2014/main" id="{1027EFB3-D5A3-457E-A314-B22F33677ABD}"/>
            </a:ext>
          </a:extLst>
        </xdr:cNvPr>
        <xdr:cNvCxnSpPr/>
      </xdr:nvCxnSpPr>
      <xdr:spPr>
        <a:xfrm flipH="1">
          <a:off x="11138647" y="22210059"/>
          <a:ext cx="6308913" cy="2073088"/>
        </a:xfrm>
        <a:prstGeom prst="straightConnector1">
          <a:avLst/>
        </a:prstGeom>
        <a:ln>
          <a:solidFill>
            <a:srgbClr val="FF0000"/>
          </a:solidFill>
          <a:prstDash val="dash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313765</xdr:colOff>
      <xdr:row>149</xdr:row>
      <xdr:rowOff>89647</xdr:rowOff>
    </xdr:from>
    <xdr:to>
      <xdr:col>31</xdr:col>
      <xdr:colOff>67235</xdr:colOff>
      <xdr:row>163</xdr:row>
      <xdr:rowOff>44824</xdr:rowOff>
    </xdr:to>
    <xdr:cxnSp macro="">
      <xdr:nvCxnSpPr>
        <xdr:cNvPr id="31" name="Straight Arrow Connector 30">
          <a:extLst>
            <a:ext uri="{FF2B5EF4-FFF2-40B4-BE49-F238E27FC236}">
              <a16:creationId xmlns:a16="http://schemas.microsoft.com/office/drawing/2014/main" id="{0C99B32A-62B3-4C40-9A32-A3C8481D8DAF}"/>
            </a:ext>
          </a:extLst>
        </xdr:cNvPr>
        <xdr:cNvCxnSpPr/>
      </xdr:nvCxnSpPr>
      <xdr:spPr>
        <a:xfrm flipH="1">
          <a:off x="11811000" y="23487529"/>
          <a:ext cx="6443382" cy="2151530"/>
        </a:xfrm>
        <a:prstGeom prst="straightConnector1">
          <a:avLst/>
        </a:prstGeom>
        <a:ln>
          <a:solidFill>
            <a:srgbClr val="FF0000"/>
          </a:solidFill>
          <a:prstDash val="dash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324971</xdr:colOff>
      <xdr:row>151</xdr:row>
      <xdr:rowOff>78440</xdr:rowOff>
    </xdr:from>
    <xdr:to>
      <xdr:col>32</xdr:col>
      <xdr:colOff>392205</xdr:colOff>
      <xdr:row>165</xdr:row>
      <xdr:rowOff>67235</xdr:rowOff>
    </xdr:to>
    <xdr:cxnSp macro="">
      <xdr:nvCxnSpPr>
        <xdr:cNvPr id="35" name="Straight Arrow Connector 34">
          <a:extLst>
            <a:ext uri="{FF2B5EF4-FFF2-40B4-BE49-F238E27FC236}">
              <a16:creationId xmlns:a16="http://schemas.microsoft.com/office/drawing/2014/main" id="{B62BC2B6-A127-42C7-9FB6-C3A078A1D407}"/>
            </a:ext>
          </a:extLst>
        </xdr:cNvPr>
        <xdr:cNvCxnSpPr/>
      </xdr:nvCxnSpPr>
      <xdr:spPr>
        <a:xfrm flipH="1">
          <a:off x="12427324" y="23790087"/>
          <a:ext cx="6633881" cy="2185148"/>
        </a:xfrm>
        <a:prstGeom prst="straightConnector1">
          <a:avLst/>
        </a:prstGeom>
        <a:ln>
          <a:solidFill>
            <a:srgbClr val="FF0000"/>
          </a:solidFill>
          <a:prstDash val="dash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204842</xdr:colOff>
      <xdr:row>154</xdr:row>
      <xdr:rowOff>100852</xdr:rowOff>
    </xdr:from>
    <xdr:to>
      <xdr:col>27</xdr:col>
      <xdr:colOff>358587</xdr:colOff>
      <xdr:row>168</xdr:row>
      <xdr:rowOff>82362</xdr:rowOff>
    </xdr:to>
    <xdr:cxnSp macro="">
      <xdr:nvCxnSpPr>
        <xdr:cNvPr id="44" name="Connector: Elbow 43">
          <a:extLst>
            <a:ext uri="{FF2B5EF4-FFF2-40B4-BE49-F238E27FC236}">
              <a16:creationId xmlns:a16="http://schemas.microsoft.com/office/drawing/2014/main" id="{2414F9B0-FF16-43B1-80A0-6D2361687A8E}"/>
            </a:ext>
          </a:extLst>
        </xdr:cNvPr>
        <xdr:cNvCxnSpPr/>
      </xdr:nvCxnSpPr>
      <xdr:spPr>
        <a:xfrm rot="5400000">
          <a:off x="12466150" y="22308838"/>
          <a:ext cx="2177863" cy="6126480"/>
        </a:xfrm>
        <a:prstGeom prst="bentConnector3">
          <a:avLst>
            <a:gd name="adj1" fmla="val 110497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241598</xdr:colOff>
      <xdr:row>154</xdr:row>
      <xdr:rowOff>96368</xdr:rowOff>
    </xdr:from>
    <xdr:to>
      <xdr:col>29</xdr:col>
      <xdr:colOff>219635</xdr:colOff>
      <xdr:row>168</xdr:row>
      <xdr:rowOff>77878</xdr:rowOff>
    </xdr:to>
    <xdr:cxnSp macro="">
      <xdr:nvCxnSpPr>
        <xdr:cNvPr id="48" name="Connector: Elbow 47">
          <a:extLst>
            <a:ext uri="{FF2B5EF4-FFF2-40B4-BE49-F238E27FC236}">
              <a16:creationId xmlns:a16="http://schemas.microsoft.com/office/drawing/2014/main" id="{8B7AB490-89FE-4908-BF73-352BF6E9CED0}"/>
            </a:ext>
          </a:extLst>
        </xdr:cNvPr>
        <xdr:cNvCxnSpPr/>
      </xdr:nvCxnSpPr>
      <xdr:spPr>
        <a:xfrm rot="5400000">
          <a:off x="13199464" y="22212914"/>
          <a:ext cx="2177863" cy="6309360"/>
        </a:xfrm>
        <a:prstGeom prst="bentConnector3">
          <a:avLst>
            <a:gd name="adj1" fmla="val 120273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255943</xdr:colOff>
      <xdr:row>154</xdr:row>
      <xdr:rowOff>103090</xdr:rowOff>
    </xdr:from>
    <xdr:to>
      <xdr:col>31</xdr:col>
      <xdr:colOff>58271</xdr:colOff>
      <xdr:row>168</xdr:row>
      <xdr:rowOff>84600</xdr:rowOff>
    </xdr:to>
    <xdr:cxnSp macro="">
      <xdr:nvCxnSpPr>
        <xdr:cNvPr id="50" name="Connector: Elbow 49">
          <a:extLst>
            <a:ext uri="{FF2B5EF4-FFF2-40B4-BE49-F238E27FC236}">
              <a16:creationId xmlns:a16="http://schemas.microsoft.com/office/drawing/2014/main" id="{344E21D5-451C-46E4-82EB-412959C27697}"/>
            </a:ext>
          </a:extLst>
        </xdr:cNvPr>
        <xdr:cNvCxnSpPr/>
      </xdr:nvCxnSpPr>
      <xdr:spPr>
        <a:xfrm rot="5400000">
          <a:off x="13910366" y="22128196"/>
          <a:ext cx="2177863" cy="6492240"/>
        </a:xfrm>
        <a:prstGeom prst="bentConnector3">
          <a:avLst>
            <a:gd name="adj1" fmla="val 131078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372931</xdr:colOff>
      <xdr:row>154</xdr:row>
      <xdr:rowOff>98606</xdr:rowOff>
    </xdr:from>
    <xdr:to>
      <xdr:col>32</xdr:col>
      <xdr:colOff>389964</xdr:colOff>
      <xdr:row>168</xdr:row>
      <xdr:rowOff>80116</xdr:rowOff>
    </xdr:to>
    <xdr:cxnSp macro="">
      <xdr:nvCxnSpPr>
        <xdr:cNvPr id="56" name="Connector: Elbow 55">
          <a:extLst>
            <a:ext uri="{FF2B5EF4-FFF2-40B4-BE49-F238E27FC236}">
              <a16:creationId xmlns:a16="http://schemas.microsoft.com/office/drawing/2014/main" id="{F1850589-1E1A-46A7-A5B9-BB76E110E77E}"/>
            </a:ext>
          </a:extLst>
        </xdr:cNvPr>
        <xdr:cNvCxnSpPr/>
      </xdr:nvCxnSpPr>
      <xdr:spPr>
        <a:xfrm rot="5400000">
          <a:off x="14678192" y="22077992"/>
          <a:ext cx="2177863" cy="6583680"/>
        </a:xfrm>
        <a:prstGeom prst="bentConnector3">
          <a:avLst>
            <a:gd name="adj1" fmla="val 141883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457200</xdr:colOff>
      <xdr:row>295</xdr:row>
      <xdr:rowOff>9525</xdr:rowOff>
    </xdr:from>
    <xdr:to>
      <xdr:col>24</xdr:col>
      <xdr:colOff>571500</xdr:colOff>
      <xdr:row>319</xdr:row>
      <xdr:rowOff>123825</xdr:rowOff>
    </xdr:to>
    <xdr:graphicFrame macro="">
      <xdr:nvGraphicFramePr>
        <xdr:cNvPr id="6167" name="Chart 2">
          <a:extLst>
            <a:ext uri="{FF2B5EF4-FFF2-40B4-BE49-F238E27FC236}">
              <a16:creationId xmlns:a16="http://schemas.microsoft.com/office/drawing/2014/main" id="{D1F96EDF-2DC5-48C6-9585-872557BDB1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18</xdr:col>
      <xdr:colOff>369794</xdr:colOff>
      <xdr:row>316</xdr:row>
      <xdr:rowOff>78440</xdr:rowOff>
    </xdr:from>
    <xdr:to>
      <xdr:col>19</xdr:col>
      <xdr:colOff>300314</xdr:colOff>
      <xdr:row>317</xdr:row>
      <xdr:rowOff>154638</xdr:rowOff>
    </xdr:to>
    <xdr:sp macro="" textlink="">
      <xdr:nvSpPr>
        <xdr:cNvPr id="36" name="TextBox 35">
          <a:extLst>
            <a:ext uri="{FF2B5EF4-FFF2-40B4-BE49-F238E27FC236}">
              <a16:creationId xmlns:a16="http://schemas.microsoft.com/office/drawing/2014/main" id="{6307157B-F59A-4D16-BB05-5CEFE26DD3A7}"/>
            </a:ext>
          </a:extLst>
        </xdr:cNvPr>
        <xdr:cNvSpPr txBox="1"/>
      </xdr:nvSpPr>
      <xdr:spPr>
        <a:xfrm>
          <a:off x="11261912" y="49832558"/>
          <a:ext cx="535637" cy="233080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lang="en-US" sz="1600" i="0">
              <a:latin typeface="Times New Roman" panose="02020603050405020304" pitchFamily="18" charset="0"/>
              <a:cs typeface="Times New Roman" panose="02020603050405020304" pitchFamily="18" charset="0"/>
            </a:rPr>
            <a:t>x</a:t>
          </a:r>
        </a:p>
      </xdr:txBody>
    </xdr:sp>
    <xdr:clientData/>
  </xdr:twoCellAnchor>
  <xdr:twoCellAnchor>
    <xdr:from>
      <xdr:col>7</xdr:col>
      <xdr:colOff>488577</xdr:colOff>
      <xdr:row>293</xdr:row>
      <xdr:rowOff>40338</xdr:rowOff>
    </xdr:from>
    <xdr:to>
      <xdr:col>9</xdr:col>
      <xdr:colOff>268942</xdr:colOff>
      <xdr:row>294</xdr:row>
      <xdr:rowOff>123263</xdr:rowOff>
    </xdr:to>
    <xdr:sp macro="" textlink="">
      <xdr:nvSpPr>
        <xdr:cNvPr id="37" name="TextBox 36">
          <a:extLst>
            <a:ext uri="{FF2B5EF4-FFF2-40B4-BE49-F238E27FC236}">
              <a16:creationId xmlns:a16="http://schemas.microsoft.com/office/drawing/2014/main" id="{F6B1948E-6661-4C74-8095-B4BF345EB937}"/>
            </a:ext>
          </a:extLst>
        </xdr:cNvPr>
        <xdr:cNvSpPr txBox="1"/>
      </xdr:nvSpPr>
      <xdr:spPr>
        <a:xfrm>
          <a:off x="4724401" y="46186162"/>
          <a:ext cx="990600" cy="239807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lang="en-US" sz="1600" i="0">
              <a:latin typeface="Times New Roman" panose="02020603050405020304" pitchFamily="18" charset="0"/>
              <a:cs typeface="Times New Roman" panose="02020603050405020304" pitchFamily="18" charset="0"/>
            </a:rPr>
            <a:t>Probability</a:t>
          </a:r>
        </a:p>
      </xdr:txBody>
    </xdr:sp>
    <xdr:clientData/>
  </xdr:twoCellAnchor>
  <xdr:twoCellAnchor>
    <xdr:from>
      <xdr:col>5</xdr:col>
      <xdr:colOff>470646</xdr:colOff>
      <xdr:row>249</xdr:row>
      <xdr:rowOff>112058</xdr:rowOff>
    </xdr:from>
    <xdr:to>
      <xdr:col>7</xdr:col>
      <xdr:colOff>407894</xdr:colOff>
      <xdr:row>251</xdr:row>
      <xdr:rowOff>38100</xdr:rowOff>
    </xdr:to>
    <xdr:sp macro="" textlink="">
      <xdr:nvSpPr>
        <xdr:cNvPr id="38" name="TextBox 37">
          <a:extLst>
            <a:ext uri="{FF2B5EF4-FFF2-40B4-BE49-F238E27FC236}">
              <a16:creationId xmlns:a16="http://schemas.microsoft.com/office/drawing/2014/main" id="{F7BCB3CC-2DF9-4048-868E-32D425317327}"/>
            </a:ext>
          </a:extLst>
        </xdr:cNvPr>
        <xdr:cNvSpPr txBox="1"/>
      </xdr:nvSpPr>
      <xdr:spPr>
        <a:xfrm>
          <a:off x="3653117" y="39355058"/>
          <a:ext cx="1147483" cy="239807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lang="en-US" sz="1600" i="0">
              <a:latin typeface="Times New Roman" panose="02020603050405020304" pitchFamily="18" charset="0"/>
              <a:cs typeface="Times New Roman" panose="02020603050405020304" pitchFamily="18" charset="0"/>
            </a:rPr>
            <a:t>Probability</a:t>
          </a:r>
        </a:p>
      </xdr:txBody>
    </xdr:sp>
    <xdr:clientData/>
  </xdr:twoCellAnchor>
  <xdr:twoCellAnchor>
    <xdr:from>
      <xdr:col>4</xdr:col>
      <xdr:colOff>156882</xdr:colOff>
      <xdr:row>211</xdr:row>
      <xdr:rowOff>11206</xdr:rowOff>
    </xdr:from>
    <xdr:to>
      <xdr:col>5</xdr:col>
      <xdr:colOff>542365</xdr:colOff>
      <xdr:row>212</xdr:row>
      <xdr:rowOff>94130</xdr:rowOff>
    </xdr:to>
    <xdr:sp macro="" textlink="">
      <xdr:nvSpPr>
        <xdr:cNvPr id="39" name="TextBox 38">
          <a:extLst>
            <a:ext uri="{FF2B5EF4-FFF2-40B4-BE49-F238E27FC236}">
              <a16:creationId xmlns:a16="http://schemas.microsoft.com/office/drawing/2014/main" id="{4466F58C-C706-4E1D-8E84-598C9632D7B3}"/>
            </a:ext>
          </a:extLst>
        </xdr:cNvPr>
        <xdr:cNvSpPr txBox="1"/>
      </xdr:nvSpPr>
      <xdr:spPr>
        <a:xfrm>
          <a:off x="2577353" y="33135794"/>
          <a:ext cx="990600" cy="239807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lang="en-US" sz="1600" i="0">
              <a:latin typeface="Times New Roman" panose="02020603050405020304" pitchFamily="18" charset="0"/>
              <a:cs typeface="Times New Roman" panose="02020603050405020304" pitchFamily="18" charset="0"/>
            </a:rPr>
            <a:t>Probability</a:t>
          </a:r>
        </a:p>
      </xdr:txBody>
    </xdr:sp>
    <xdr:clientData/>
  </xdr:twoCellAnchor>
  <xdr:twoCellAnchor>
    <xdr:from>
      <xdr:col>8</xdr:col>
      <xdr:colOff>40342</xdr:colOff>
      <xdr:row>176</xdr:row>
      <xdr:rowOff>40341</xdr:rowOff>
    </xdr:from>
    <xdr:to>
      <xdr:col>9</xdr:col>
      <xdr:colOff>425824</xdr:colOff>
      <xdr:row>177</xdr:row>
      <xdr:rowOff>123266</xdr:rowOff>
    </xdr:to>
    <xdr:sp macro="" textlink="">
      <xdr:nvSpPr>
        <xdr:cNvPr id="40" name="TextBox 39">
          <a:extLst>
            <a:ext uri="{FF2B5EF4-FFF2-40B4-BE49-F238E27FC236}">
              <a16:creationId xmlns:a16="http://schemas.microsoft.com/office/drawing/2014/main" id="{EEB7FFBA-8585-4AC7-98B3-4426E141A8B6}"/>
            </a:ext>
          </a:extLst>
        </xdr:cNvPr>
        <xdr:cNvSpPr txBox="1"/>
      </xdr:nvSpPr>
      <xdr:spPr>
        <a:xfrm>
          <a:off x="4881283" y="27674047"/>
          <a:ext cx="990600" cy="239807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lang="en-US" sz="1600" i="0">
              <a:latin typeface="Times New Roman" panose="02020603050405020304" pitchFamily="18" charset="0"/>
              <a:cs typeface="Times New Roman" panose="02020603050405020304" pitchFamily="18" charset="0"/>
            </a:rPr>
            <a:t>Probability</a:t>
          </a:r>
        </a:p>
      </xdr:txBody>
    </xdr:sp>
    <xdr:clientData/>
  </xdr:twoCellAnchor>
  <xdr:twoCellAnchor>
    <xdr:from>
      <xdr:col>11</xdr:col>
      <xdr:colOff>100853</xdr:colOff>
      <xdr:row>142</xdr:row>
      <xdr:rowOff>11206</xdr:rowOff>
    </xdr:from>
    <xdr:to>
      <xdr:col>12</xdr:col>
      <xdr:colOff>486335</xdr:colOff>
      <xdr:row>143</xdr:row>
      <xdr:rowOff>94131</xdr:rowOff>
    </xdr:to>
    <xdr:sp macro="" textlink="">
      <xdr:nvSpPr>
        <xdr:cNvPr id="41" name="TextBox 40">
          <a:extLst>
            <a:ext uri="{FF2B5EF4-FFF2-40B4-BE49-F238E27FC236}">
              <a16:creationId xmlns:a16="http://schemas.microsoft.com/office/drawing/2014/main" id="{88B7D64E-6B0F-4443-87F9-1498660D7BB6}"/>
            </a:ext>
          </a:extLst>
        </xdr:cNvPr>
        <xdr:cNvSpPr txBox="1"/>
      </xdr:nvSpPr>
      <xdr:spPr>
        <a:xfrm>
          <a:off x="6757147" y="22310912"/>
          <a:ext cx="990600" cy="239807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lang="en-US" sz="1600" i="0">
              <a:latin typeface="Times New Roman" panose="02020603050405020304" pitchFamily="18" charset="0"/>
              <a:cs typeface="Times New Roman" panose="02020603050405020304" pitchFamily="18" charset="0"/>
            </a:rPr>
            <a:t>Probability</a:t>
          </a:r>
        </a:p>
      </xdr:txBody>
    </xdr:sp>
    <xdr:clientData/>
  </xdr:twoCellAnchor>
  <xdr:twoCellAnchor>
    <xdr:from>
      <xdr:col>18</xdr:col>
      <xdr:colOff>376517</xdr:colOff>
      <xdr:row>129</xdr:row>
      <xdr:rowOff>73959</xdr:rowOff>
    </xdr:from>
    <xdr:to>
      <xdr:col>20</xdr:col>
      <xdr:colOff>156882</xdr:colOff>
      <xdr:row>131</xdr:row>
      <xdr:rowOff>1</xdr:rowOff>
    </xdr:to>
    <xdr:sp macro="" textlink="">
      <xdr:nvSpPr>
        <xdr:cNvPr id="42" name="TextBox 41">
          <a:extLst>
            <a:ext uri="{FF2B5EF4-FFF2-40B4-BE49-F238E27FC236}">
              <a16:creationId xmlns:a16="http://schemas.microsoft.com/office/drawing/2014/main" id="{0989DDB3-162D-4964-9B25-DC30E16D3842}"/>
            </a:ext>
          </a:extLst>
        </xdr:cNvPr>
        <xdr:cNvSpPr txBox="1"/>
      </xdr:nvSpPr>
      <xdr:spPr>
        <a:xfrm>
          <a:off x="11268635" y="20334194"/>
          <a:ext cx="990600" cy="239807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lang="en-US" sz="1600" i="0">
              <a:latin typeface="Times New Roman" panose="02020603050405020304" pitchFamily="18" charset="0"/>
              <a:cs typeface="Times New Roman" panose="02020603050405020304" pitchFamily="18" charset="0"/>
            </a:rPr>
            <a:t>Probability</a:t>
          </a:r>
        </a:p>
      </xdr:txBody>
    </xdr:sp>
    <xdr:clientData/>
  </xdr:twoCellAnchor>
  <xdr:twoCellAnchor>
    <xdr:from>
      <xdr:col>8</xdr:col>
      <xdr:colOff>358588</xdr:colOff>
      <xdr:row>49</xdr:row>
      <xdr:rowOff>100853</xdr:rowOff>
    </xdr:from>
    <xdr:to>
      <xdr:col>10</xdr:col>
      <xdr:colOff>138953</xdr:colOff>
      <xdr:row>51</xdr:row>
      <xdr:rowOff>26895</xdr:rowOff>
    </xdr:to>
    <xdr:sp macro="" textlink="">
      <xdr:nvSpPr>
        <xdr:cNvPr id="43" name="TextBox 42">
          <a:extLst>
            <a:ext uri="{FF2B5EF4-FFF2-40B4-BE49-F238E27FC236}">
              <a16:creationId xmlns:a16="http://schemas.microsoft.com/office/drawing/2014/main" id="{E2506A67-9551-4F60-AB7C-96136B64BBCF}"/>
            </a:ext>
          </a:extLst>
        </xdr:cNvPr>
        <xdr:cNvSpPr txBox="1"/>
      </xdr:nvSpPr>
      <xdr:spPr>
        <a:xfrm>
          <a:off x="5199529" y="7788088"/>
          <a:ext cx="990600" cy="239807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lang="en-US" sz="1600" i="0">
              <a:latin typeface="Times New Roman" panose="02020603050405020304" pitchFamily="18" charset="0"/>
              <a:cs typeface="Times New Roman" panose="02020603050405020304" pitchFamily="18" charset="0"/>
            </a:rPr>
            <a:t>Probability</a:t>
          </a:r>
        </a:p>
      </xdr:txBody>
    </xdr:sp>
    <xdr:clientData/>
  </xdr:twoCellAnchor>
  <xdr:twoCellAnchor>
    <xdr:from>
      <xdr:col>7</xdr:col>
      <xdr:colOff>112058</xdr:colOff>
      <xdr:row>4</xdr:row>
      <xdr:rowOff>78441</xdr:rowOff>
    </xdr:from>
    <xdr:to>
      <xdr:col>8</xdr:col>
      <xdr:colOff>497541</xdr:colOff>
      <xdr:row>6</xdr:row>
      <xdr:rowOff>4483</xdr:rowOff>
    </xdr:to>
    <xdr:sp macro="" textlink="">
      <xdr:nvSpPr>
        <xdr:cNvPr id="45" name="TextBox 44">
          <a:extLst>
            <a:ext uri="{FF2B5EF4-FFF2-40B4-BE49-F238E27FC236}">
              <a16:creationId xmlns:a16="http://schemas.microsoft.com/office/drawing/2014/main" id="{00628772-AB7E-4DF1-BAA6-DF25EF05EBCF}"/>
            </a:ext>
          </a:extLst>
        </xdr:cNvPr>
        <xdr:cNvSpPr txBox="1"/>
      </xdr:nvSpPr>
      <xdr:spPr>
        <a:xfrm>
          <a:off x="4347882" y="705970"/>
          <a:ext cx="990600" cy="239807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lang="en-US" sz="1600" i="0">
              <a:latin typeface="Times New Roman" panose="02020603050405020304" pitchFamily="18" charset="0"/>
              <a:cs typeface="Times New Roman" panose="02020603050405020304" pitchFamily="18" charset="0"/>
            </a:rPr>
            <a:t>Probability</a:t>
          </a:r>
        </a:p>
      </xdr:txBody>
    </xdr:sp>
    <xdr:clientData/>
  </xdr:twoCellAnchor>
  <xdr:twoCellAnchor>
    <xdr:from>
      <xdr:col>15</xdr:col>
      <xdr:colOff>219635</xdr:colOff>
      <xdr:row>4</xdr:row>
      <xdr:rowOff>107576</xdr:rowOff>
    </xdr:from>
    <xdr:to>
      <xdr:col>17</xdr:col>
      <xdr:colOff>0</xdr:colOff>
      <xdr:row>6</xdr:row>
      <xdr:rowOff>33618</xdr:rowOff>
    </xdr:to>
    <xdr:sp macro="" textlink="">
      <xdr:nvSpPr>
        <xdr:cNvPr id="46" name="TextBox 45">
          <a:extLst>
            <a:ext uri="{FF2B5EF4-FFF2-40B4-BE49-F238E27FC236}">
              <a16:creationId xmlns:a16="http://schemas.microsoft.com/office/drawing/2014/main" id="{1119549C-FBB3-4E84-BDF3-C1C0380230A5}"/>
            </a:ext>
          </a:extLst>
        </xdr:cNvPr>
        <xdr:cNvSpPr txBox="1"/>
      </xdr:nvSpPr>
      <xdr:spPr>
        <a:xfrm>
          <a:off x="9296400" y="735105"/>
          <a:ext cx="990600" cy="239807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lang="en-US" sz="1600" i="0">
              <a:latin typeface="Times New Roman" panose="02020603050405020304" pitchFamily="18" charset="0"/>
              <a:cs typeface="Times New Roman" panose="02020603050405020304" pitchFamily="18" charset="0"/>
            </a:rPr>
            <a:t>Probability</a:t>
          </a:r>
        </a:p>
      </xdr:txBody>
    </xdr:sp>
    <xdr:clientData/>
  </xdr:twoCellAnchor>
  <xdr:twoCellAnchor>
    <xdr:from>
      <xdr:col>11</xdr:col>
      <xdr:colOff>582705</xdr:colOff>
      <xdr:row>182</xdr:row>
      <xdr:rowOff>134471</xdr:rowOff>
    </xdr:from>
    <xdr:to>
      <xdr:col>13</xdr:col>
      <xdr:colOff>56029</xdr:colOff>
      <xdr:row>186</xdr:row>
      <xdr:rowOff>22412</xdr:rowOff>
    </xdr:to>
    <xdr:sp macro="" textlink="">
      <xdr:nvSpPr>
        <xdr:cNvPr id="47" name="TextBox 46">
          <a:extLst>
            <a:ext uri="{FF2B5EF4-FFF2-40B4-BE49-F238E27FC236}">
              <a16:creationId xmlns:a16="http://schemas.microsoft.com/office/drawing/2014/main" id="{25C9BE3B-F3BC-44E3-98B5-AF7F8164CA8A}"/>
            </a:ext>
          </a:extLst>
        </xdr:cNvPr>
        <xdr:cNvSpPr txBox="1"/>
      </xdr:nvSpPr>
      <xdr:spPr>
        <a:xfrm>
          <a:off x="7238999" y="28709471"/>
          <a:ext cx="683559" cy="515470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ctr"/>
          <a:r>
            <a:rPr lang="el-GR" sz="1600" i="1">
              <a:latin typeface="Times New Roman" panose="02020603050405020304" pitchFamily="18" charset="0"/>
              <a:cs typeface="Times New Roman" panose="02020603050405020304" pitchFamily="18" charset="0"/>
            </a:rPr>
            <a:t>μ</a:t>
          </a:r>
          <a:r>
            <a:rPr lang="el-GR" sz="1600" i="1" baseline="0">
              <a:latin typeface="Times New Roman" panose="02020603050405020304" pitchFamily="18" charset="0"/>
              <a:cs typeface="Times New Roman" panose="02020603050405020304" pitchFamily="18" charset="0"/>
            </a:rPr>
            <a:t> = 0</a:t>
          </a:r>
        </a:p>
        <a:p>
          <a:pPr algn="ctr"/>
          <a:r>
            <a:rPr lang="el-GR" sz="1600" i="1" baseline="0">
              <a:latin typeface="Times New Roman" panose="02020603050405020304" pitchFamily="18" charset="0"/>
              <a:cs typeface="Times New Roman" panose="02020603050405020304" pitchFamily="18" charset="0"/>
            </a:rPr>
            <a:t>σ = 0.5</a:t>
          </a:r>
        </a:p>
        <a:p>
          <a:pPr algn="ctr"/>
          <a:endParaRPr lang="en-US" sz="1600" i="1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11</xdr:col>
      <xdr:colOff>186015</xdr:colOff>
      <xdr:row>192</xdr:row>
      <xdr:rowOff>40344</xdr:rowOff>
    </xdr:from>
    <xdr:to>
      <xdr:col>12</xdr:col>
      <xdr:colOff>264456</xdr:colOff>
      <xdr:row>195</xdr:row>
      <xdr:rowOff>85167</xdr:rowOff>
    </xdr:to>
    <xdr:sp macro="" textlink="">
      <xdr:nvSpPr>
        <xdr:cNvPr id="49" name="TextBox 48">
          <a:extLst>
            <a:ext uri="{FF2B5EF4-FFF2-40B4-BE49-F238E27FC236}">
              <a16:creationId xmlns:a16="http://schemas.microsoft.com/office/drawing/2014/main" id="{410E4810-332F-4761-BD2F-45428224C8D7}"/>
            </a:ext>
          </a:extLst>
        </xdr:cNvPr>
        <xdr:cNvSpPr txBox="1"/>
      </xdr:nvSpPr>
      <xdr:spPr>
        <a:xfrm>
          <a:off x="6842309" y="30184168"/>
          <a:ext cx="683559" cy="515470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ctr"/>
          <a:r>
            <a:rPr lang="el-GR" sz="1600" i="1">
              <a:latin typeface="Times New Roman" panose="02020603050405020304" pitchFamily="18" charset="0"/>
              <a:cs typeface="Times New Roman" panose="02020603050405020304" pitchFamily="18" charset="0"/>
            </a:rPr>
            <a:t>μ</a:t>
          </a:r>
          <a:r>
            <a:rPr lang="el-GR" sz="1600" i="1" baseline="0">
              <a:latin typeface="Times New Roman" panose="02020603050405020304" pitchFamily="18" charset="0"/>
              <a:cs typeface="Times New Roman" panose="02020603050405020304" pitchFamily="18" charset="0"/>
            </a:rPr>
            <a:t> = 0</a:t>
          </a:r>
        </a:p>
        <a:p>
          <a:pPr algn="ctr"/>
          <a:r>
            <a:rPr lang="el-GR" sz="1600" i="1" baseline="0">
              <a:latin typeface="Times New Roman" panose="02020603050405020304" pitchFamily="18" charset="0"/>
              <a:cs typeface="Times New Roman" panose="02020603050405020304" pitchFamily="18" charset="0"/>
            </a:rPr>
            <a:t>σ = 1</a:t>
          </a:r>
        </a:p>
        <a:p>
          <a:pPr algn="ctr"/>
          <a:endParaRPr lang="en-US" sz="1600" i="1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9</xdr:col>
      <xdr:colOff>89646</xdr:colOff>
      <xdr:row>196</xdr:row>
      <xdr:rowOff>11204</xdr:rowOff>
    </xdr:from>
    <xdr:to>
      <xdr:col>10</xdr:col>
      <xdr:colOff>168088</xdr:colOff>
      <xdr:row>199</xdr:row>
      <xdr:rowOff>56027</xdr:rowOff>
    </xdr:to>
    <xdr:sp macro="" textlink="">
      <xdr:nvSpPr>
        <xdr:cNvPr id="51" name="TextBox 50">
          <a:extLst>
            <a:ext uri="{FF2B5EF4-FFF2-40B4-BE49-F238E27FC236}">
              <a16:creationId xmlns:a16="http://schemas.microsoft.com/office/drawing/2014/main" id="{50EACBA8-31B0-4B81-B586-4DAFC377230C}"/>
            </a:ext>
          </a:extLst>
        </xdr:cNvPr>
        <xdr:cNvSpPr txBox="1"/>
      </xdr:nvSpPr>
      <xdr:spPr>
        <a:xfrm>
          <a:off x="5535705" y="30782557"/>
          <a:ext cx="683559" cy="515470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ctr"/>
          <a:r>
            <a:rPr lang="el-GR" sz="1600" i="1">
              <a:latin typeface="Times New Roman" panose="02020603050405020304" pitchFamily="18" charset="0"/>
              <a:cs typeface="Times New Roman" panose="02020603050405020304" pitchFamily="18" charset="0"/>
            </a:rPr>
            <a:t>μ</a:t>
          </a:r>
          <a:r>
            <a:rPr lang="el-GR" sz="1600" i="1" baseline="0">
              <a:latin typeface="Times New Roman" panose="02020603050405020304" pitchFamily="18" charset="0"/>
              <a:cs typeface="Times New Roman" panose="02020603050405020304" pitchFamily="18" charset="0"/>
            </a:rPr>
            <a:t> = 0</a:t>
          </a:r>
        </a:p>
        <a:p>
          <a:pPr algn="ctr"/>
          <a:r>
            <a:rPr lang="el-GR" sz="1600" i="1" baseline="0">
              <a:latin typeface="Times New Roman" panose="02020603050405020304" pitchFamily="18" charset="0"/>
              <a:cs typeface="Times New Roman" panose="02020603050405020304" pitchFamily="18" charset="0"/>
            </a:rPr>
            <a:t>σ = 2</a:t>
          </a:r>
        </a:p>
        <a:p>
          <a:pPr algn="ctr"/>
          <a:endParaRPr lang="en-US" sz="1600" i="1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16</xdr:col>
      <xdr:colOff>259975</xdr:colOff>
      <xdr:row>192</xdr:row>
      <xdr:rowOff>91890</xdr:rowOff>
    </xdr:from>
    <xdr:to>
      <xdr:col>17</xdr:col>
      <xdr:colOff>338416</xdr:colOff>
      <xdr:row>195</xdr:row>
      <xdr:rowOff>136713</xdr:rowOff>
    </xdr:to>
    <xdr:sp macro="" textlink="">
      <xdr:nvSpPr>
        <xdr:cNvPr id="52" name="TextBox 51">
          <a:extLst>
            <a:ext uri="{FF2B5EF4-FFF2-40B4-BE49-F238E27FC236}">
              <a16:creationId xmlns:a16="http://schemas.microsoft.com/office/drawing/2014/main" id="{18F93F26-EE57-4D89-970C-58DCDB93DE8A}"/>
            </a:ext>
          </a:extLst>
        </xdr:cNvPr>
        <xdr:cNvSpPr txBox="1"/>
      </xdr:nvSpPr>
      <xdr:spPr>
        <a:xfrm>
          <a:off x="9941857" y="30235714"/>
          <a:ext cx="683559" cy="515470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ctr"/>
          <a:r>
            <a:rPr lang="el-GR" sz="1600" i="1">
              <a:latin typeface="Times New Roman" panose="02020603050405020304" pitchFamily="18" charset="0"/>
              <a:cs typeface="Times New Roman" panose="02020603050405020304" pitchFamily="18" charset="0"/>
            </a:rPr>
            <a:t>μ</a:t>
          </a:r>
          <a:r>
            <a:rPr lang="el-GR" sz="1600" i="1" baseline="0">
              <a:latin typeface="Times New Roman" panose="02020603050405020304" pitchFamily="18" charset="0"/>
              <a:cs typeface="Times New Roman" panose="02020603050405020304" pitchFamily="18" charset="0"/>
            </a:rPr>
            <a:t> = 2</a:t>
          </a:r>
        </a:p>
        <a:p>
          <a:pPr algn="ctr"/>
          <a:r>
            <a:rPr lang="el-GR" sz="1600" i="1" baseline="0">
              <a:latin typeface="Times New Roman" panose="02020603050405020304" pitchFamily="18" charset="0"/>
              <a:cs typeface="Times New Roman" panose="02020603050405020304" pitchFamily="18" charset="0"/>
            </a:rPr>
            <a:t>σ = 0.5</a:t>
          </a:r>
        </a:p>
        <a:p>
          <a:pPr algn="ctr"/>
          <a:endParaRPr lang="en-US" sz="1600" i="1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18</xdr:col>
      <xdr:colOff>248771</xdr:colOff>
      <xdr:row>200</xdr:row>
      <xdr:rowOff>91889</xdr:rowOff>
    </xdr:from>
    <xdr:to>
      <xdr:col>18</xdr:col>
      <xdr:colOff>437029</xdr:colOff>
      <xdr:row>202</xdr:row>
      <xdr:rowOff>22412</xdr:rowOff>
    </xdr:to>
    <xdr:sp macro="" textlink="">
      <xdr:nvSpPr>
        <xdr:cNvPr id="53" name="TextBox 52">
          <a:extLst>
            <a:ext uri="{FF2B5EF4-FFF2-40B4-BE49-F238E27FC236}">
              <a16:creationId xmlns:a16="http://schemas.microsoft.com/office/drawing/2014/main" id="{1A5432E9-FC09-420B-A3E0-E3EBF1D24C91}"/>
            </a:ext>
          </a:extLst>
        </xdr:cNvPr>
        <xdr:cNvSpPr txBox="1"/>
      </xdr:nvSpPr>
      <xdr:spPr>
        <a:xfrm>
          <a:off x="11140889" y="31490771"/>
          <a:ext cx="188258" cy="244288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lang="en-US" sz="1600" i="0">
              <a:latin typeface="Times New Roman" panose="02020603050405020304" pitchFamily="18" charset="0"/>
              <a:cs typeface="Times New Roman" panose="02020603050405020304" pitchFamily="18" charset="0"/>
            </a:rPr>
            <a:t>x</a:t>
          </a:r>
        </a:p>
      </xdr:txBody>
    </xdr:sp>
    <xdr:clientData/>
  </xdr:twoCellAnchor>
  <xdr:twoCellAnchor>
    <xdr:from>
      <xdr:col>16</xdr:col>
      <xdr:colOff>31377</xdr:colOff>
      <xdr:row>271</xdr:row>
      <xdr:rowOff>20171</xdr:rowOff>
    </xdr:from>
    <xdr:to>
      <xdr:col>16</xdr:col>
      <xdr:colOff>219635</xdr:colOff>
      <xdr:row>272</xdr:row>
      <xdr:rowOff>107577</xdr:rowOff>
    </xdr:to>
    <xdr:sp macro="" textlink="">
      <xdr:nvSpPr>
        <xdr:cNvPr id="54" name="TextBox 53">
          <a:extLst>
            <a:ext uri="{FF2B5EF4-FFF2-40B4-BE49-F238E27FC236}">
              <a16:creationId xmlns:a16="http://schemas.microsoft.com/office/drawing/2014/main" id="{61A4170A-605C-42DF-9786-81C54DA6F986}"/>
            </a:ext>
          </a:extLst>
        </xdr:cNvPr>
        <xdr:cNvSpPr txBox="1"/>
      </xdr:nvSpPr>
      <xdr:spPr>
        <a:xfrm>
          <a:off x="9870142" y="42714583"/>
          <a:ext cx="188258" cy="244288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lang="en-US" sz="1600" i="0">
              <a:latin typeface="Times New Roman" panose="02020603050405020304" pitchFamily="18" charset="0"/>
              <a:cs typeface="Times New Roman" panose="02020603050405020304" pitchFamily="18" charset="0"/>
            </a:rPr>
            <a:t>z</a:t>
          </a:r>
        </a:p>
      </xdr:txBody>
    </xdr:sp>
    <xdr:clientData/>
  </xdr:twoCellAnchor>
  <xdr:twoCellAnchor>
    <xdr:from>
      <xdr:col>10</xdr:col>
      <xdr:colOff>392206</xdr:colOff>
      <xdr:row>52</xdr:row>
      <xdr:rowOff>11205</xdr:rowOff>
    </xdr:from>
    <xdr:to>
      <xdr:col>11</xdr:col>
      <xdr:colOff>537883</xdr:colOff>
      <xdr:row>53</xdr:row>
      <xdr:rowOff>112058</xdr:rowOff>
    </xdr:to>
    <xdr:sp macro="" textlink="">
      <xdr:nvSpPr>
        <xdr:cNvPr id="55" name="TextBox 54">
          <a:extLst>
            <a:ext uri="{FF2B5EF4-FFF2-40B4-BE49-F238E27FC236}">
              <a16:creationId xmlns:a16="http://schemas.microsoft.com/office/drawing/2014/main" id="{BE9ECB67-0C69-459D-ACA3-67C11295B3D8}"/>
            </a:ext>
          </a:extLst>
        </xdr:cNvPr>
        <xdr:cNvSpPr txBox="1"/>
      </xdr:nvSpPr>
      <xdr:spPr>
        <a:xfrm>
          <a:off x="6443382" y="8169087"/>
          <a:ext cx="750795" cy="257736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ctr"/>
          <a:r>
            <a:rPr lang="en-US" sz="1600" i="1" baseline="0">
              <a:latin typeface="Times New Roman" panose="02020603050405020304" pitchFamily="18" charset="0"/>
              <a:cs typeface="Times New Roman" panose="02020603050405020304" pitchFamily="18" charset="0"/>
            </a:rPr>
            <a:t>p = 0.2</a:t>
          </a:r>
          <a:endParaRPr lang="el-GR" sz="1600" i="1" baseline="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11</xdr:col>
      <xdr:colOff>264457</xdr:colOff>
      <xdr:row>53</xdr:row>
      <xdr:rowOff>96370</xdr:rowOff>
    </xdr:from>
    <xdr:to>
      <xdr:col>12</xdr:col>
      <xdr:colOff>410134</xdr:colOff>
      <xdr:row>55</xdr:row>
      <xdr:rowOff>40342</xdr:rowOff>
    </xdr:to>
    <xdr:sp macro="" textlink="">
      <xdr:nvSpPr>
        <xdr:cNvPr id="57" name="TextBox 56">
          <a:extLst>
            <a:ext uri="{FF2B5EF4-FFF2-40B4-BE49-F238E27FC236}">
              <a16:creationId xmlns:a16="http://schemas.microsoft.com/office/drawing/2014/main" id="{8C0A13CA-653D-448F-9AB2-E700F6CD1F7F}"/>
            </a:ext>
          </a:extLst>
        </xdr:cNvPr>
        <xdr:cNvSpPr txBox="1"/>
      </xdr:nvSpPr>
      <xdr:spPr>
        <a:xfrm>
          <a:off x="6920751" y="8411135"/>
          <a:ext cx="750795" cy="257736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ctr"/>
          <a:r>
            <a:rPr lang="en-US" sz="1600" i="1" baseline="0">
              <a:latin typeface="Times New Roman" panose="02020603050405020304" pitchFamily="18" charset="0"/>
              <a:cs typeface="Times New Roman" panose="02020603050405020304" pitchFamily="18" charset="0"/>
            </a:rPr>
            <a:t>p = 0.3</a:t>
          </a:r>
          <a:endParaRPr lang="el-GR" sz="1600" i="1" baseline="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12</xdr:col>
      <xdr:colOff>584947</xdr:colOff>
      <xdr:row>54</xdr:row>
      <xdr:rowOff>103094</xdr:rowOff>
    </xdr:from>
    <xdr:to>
      <xdr:col>14</xdr:col>
      <xdr:colOff>125507</xdr:colOff>
      <xdr:row>56</xdr:row>
      <xdr:rowOff>47065</xdr:rowOff>
    </xdr:to>
    <xdr:sp macro="" textlink="">
      <xdr:nvSpPr>
        <xdr:cNvPr id="58" name="TextBox 57">
          <a:extLst>
            <a:ext uri="{FF2B5EF4-FFF2-40B4-BE49-F238E27FC236}">
              <a16:creationId xmlns:a16="http://schemas.microsoft.com/office/drawing/2014/main" id="{19871A90-732D-4B95-89D1-102834F987B6}"/>
            </a:ext>
          </a:extLst>
        </xdr:cNvPr>
        <xdr:cNvSpPr txBox="1"/>
      </xdr:nvSpPr>
      <xdr:spPr>
        <a:xfrm>
          <a:off x="7846359" y="8574741"/>
          <a:ext cx="750795" cy="257736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ctr"/>
          <a:r>
            <a:rPr lang="en-US" sz="1600" i="1" baseline="0">
              <a:latin typeface="Times New Roman" panose="02020603050405020304" pitchFamily="18" charset="0"/>
              <a:cs typeface="Times New Roman" panose="02020603050405020304" pitchFamily="18" charset="0"/>
            </a:rPr>
            <a:t>p = 0.5</a:t>
          </a:r>
          <a:endParaRPr lang="el-GR" sz="1600" i="1" baseline="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14</xdr:col>
      <xdr:colOff>468412</xdr:colOff>
      <xdr:row>58</xdr:row>
      <xdr:rowOff>143442</xdr:rowOff>
    </xdr:from>
    <xdr:to>
      <xdr:col>16</xdr:col>
      <xdr:colOff>571501</xdr:colOff>
      <xdr:row>60</xdr:row>
      <xdr:rowOff>67239</xdr:rowOff>
    </xdr:to>
    <xdr:sp macro="" textlink="">
      <xdr:nvSpPr>
        <xdr:cNvPr id="59" name="TextBox 58">
          <a:extLst>
            <a:ext uri="{FF2B5EF4-FFF2-40B4-BE49-F238E27FC236}">
              <a16:creationId xmlns:a16="http://schemas.microsoft.com/office/drawing/2014/main" id="{825333A3-3472-441F-9BCC-9B2294A6010C}"/>
            </a:ext>
          </a:extLst>
        </xdr:cNvPr>
        <xdr:cNvSpPr txBox="1"/>
      </xdr:nvSpPr>
      <xdr:spPr>
        <a:xfrm>
          <a:off x="8940059" y="9242618"/>
          <a:ext cx="1313324" cy="237562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ctr"/>
          <a:r>
            <a:rPr lang="en-US" sz="1600" i="1" baseline="0">
              <a:latin typeface="Times New Roman" panose="02020603050405020304" pitchFamily="18" charset="0"/>
              <a:cs typeface="Times New Roman" panose="02020603050405020304" pitchFamily="18" charset="0"/>
            </a:rPr>
            <a:t>p = 0.2, n = 50</a:t>
          </a:r>
          <a:endParaRPr lang="el-GR" sz="1600" i="1" baseline="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12</xdr:col>
      <xdr:colOff>239812</xdr:colOff>
      <xdr:row>51</xdr:row>
      <xdr:rowOff>127745</xdr:rowOff>
    </xdr:from>
    <xdr:to>
      <xdr:col>13</xdr:col>
      <xdr:colOff>385490</xdr:colOff>
      <xdr:row>53</xdr:row>
      <xdr:rowOff>71716</xdr:rowOff>
    </xdr:to>
    <xdr:sp macro="" textlink="">
      <xdr:nvSpPr>
        <xdr:cNvPr id="60" name="TextBox 59">
          <a:extLst>
            <a:ext uri="{FF2B5EF4-FFF2-40B4-BE49-F238E27FC236}">
              <a16:creationId xmlns:a16="http://schemas.microsoft.com/office/drawing/2014/main" id="{E502DBE3-DEA7-4F71-BC21-B4854A696A33}"/>
            </a:ext>
          </a:extLst>
        </xdr:cNvPr>
        <xdr:cNvSpPr txBox="1"/>
      </xdr:nvSpPr>
      <xdr:spPr>
        <a:xfrm>
          <a:off x="7501224" y="8128745"/>
          <a:ext cx="750795" cy="257736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ctr"/>
          <a:r>
            <a:rPr lang="en-US" sz="1600" i="1" baseline="0">
              <a:latin typeface="Times New Roman" panose="02020603050405020304" pitchFamily="18" charset="0"/>
              <a:cs typeface="Times New Roman" panose="02020603050405020304" pitchFamily="18" charset="0"/>
            </a:rPr>
            <a:t>n = 40</a:t>
          </a:r>
          <a:endParaRPr lang="el-GR" sz="1600" i="1" baseline="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15</xdr:col>
      <xdr:colOff>443757</xdr:colOff>
      <xdr:row>68</xdr:row>
      <xdr:rowOff>73960</xdr:rowOff>
    </xdr:from>
    <xdr:to>
      <xdr:col>17</xdr:col>
      <xdr:colOff>224122</xdr:colOff>
      <xdr:row>70</xdr:row>
      <xdr:rowOff>2</xdr:rowOff>
    </xdr:to>
    <xdr:sp macro="" textlink="">
      <xdr:nvSpPr>
        <xdr:cNvPr id="61" name="TextBox 60">
          <a:extLst>
            <a:ext uri="{FF2B5EF4-FFF2-40B4-BE49-F238E27FC236}">
              <a16:creationId xmlns:a16="http://schemas.microsoft.com/office/drawing/2014/main" id="{50B79AF7-ED08-45F6-9283-8BAA9EEA02D7}"/>
            </a:ext>
          </a:extLst>
        </xdr:cNvPr>
        <xdr:cNvSpPr txBox="1"/>
      </xdr:nvSpPr>
      <xdr:spPr>
        <a:xfrm>
          <a:off x="9520522" y="10741960"/>
          <a:ext cx="990600" cy="239807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lang="en-US" sz="1600" i="0">
              <a:latin typeface="Times New Roman" panose="02020603050405020304" pitchFamily="18" charset="0"/>
              <a:cs typeface="Times New Roman" panose="02020603050405020304" pitchFamily="18" charset="0"/>
            </a:rPr>
            <a:t>Successes</a:t>
          </a:r>
        </a:p>
      </xdr:txBody>
    </xdr:sp>
    <xdr:clientData/>
  </xdr:twoCellAnchor>
  <xdr:twoCellAnchor>
    <xdr:from>
      <xdr:col>53</xdr:col>
      <xdr:colOff>45384</xdr:colOff>
      <xdr:row>308</xdr:row>
      <xdr:rowOff>102534</xdr:rowOff>
    </xdr:from>
    <xdr:to>
      <xdr:col>53</xdr:col>
      <xdr:colOff>403972</xdr:colOff>
      <xdr:row>310</xdr:row>
      <xdr:rowOff>46506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91D8B45F-A432-4393-8376-4099CC6C5370}"/>
            </a:ext>
          </a:extLst>
        </xdr:cNvPr>
        <xdr:cNvSpPr txBox="1"/>
      </xdr:nvSpPr>
      <xdr:spPr>
        <a:xfrm flipH="1">
          <a:off x="28029834" y="50413584"/>
          <a:ext cx="358588" cy="32497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X</a:t>
          </a:r>
          <a:r>
            <a:rPr lang="en-US" sz="1200" baseline="30000">
              <a:latin typeface="Times New Roman" panose="02020603050405020304" pitchFamily="18" charset="0"/>
              <a:cs typeface="Times New Roman" panose="02020603050405020304" pitchFamily="18" charset="0"/>
            </a:rPr>
            <a:t>2</a:t>
          </a:r>
          <a:endParaRPr lang="en-US" sz="12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36</xdr:col>
      <xdr:colOff>174808</xdr:colOff>
      <xdr:row>308</xdr:row>
      <xdr:rowOff>62757</xdr:rowOff>
    </xdr:from>
    <xdr:to>
      <xdr:col>36</xdr:col>
      <xdr:colOff>392206</xdr:colOff>
      <xdr:row>310</xdr:row>
      <xdr:rowOff>2</xdr:rowOff>
    </xdr:to>
    <xdr:sp macro="" textlink="">
      <xdr:nvSpPr>
        <xdr:cNvPr id="62" name="TextBox 61">
          <a:extLst>
            <a:ext uri="{FF2B5EF4-FFF2-40B4-BE49-F238E27FC236}">
              <a16:creationId xmlns:a16="http://schemas.microsoft.com/office/drawing/2014/main" id="{49DDE233-F081-4D78-BA37-A139313CD3DB}"/>
            </a:ext>
          </a:extLst>
        </xdr:cNvPr>
        <xdr:cNvSpPr txBox="1"/>
      </xdr:nvSpPr>
      <xdr:spPr>
        <a:xfrm flipH="1">
          <a:off x="20771220" y="48561816"/>
          <a:ext cx="217398" cy="25101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k</a:t>
          </a:r>
        </a:p>
      </xdr:txBody>
    </xdr:sp>
    <xdr:clientData/>
  </xdr:twoCellAnchor>
  <xdr:twoCellAnchor>
    <xdr:from>
      <xdr:col>44</xdr:col>
      <xdr:colOff>164726</xdr:colOff>
      <xdr:row>319</xdr:row>
      <xdr:rowOff>40341</xdr:rowOff>
    </xdr:from>
    <xdr:to>
      <xdr:col>45</xdr:col>
      <xdr:colOff>142314</xdr:colOff>
      <xdr:row>320</xdr:row>
      <xdr:rowOff>141195</xdr:rowOff>
    </xdr:to>
    <xdr:sp macro="" textlink="">
      <xdr:nvSpPr>
        <xdr:cNvPr id="63" name="TextBox 62">
          <a:extLst>
            <a:ext uri="{FF2B5EF4-FFF2-40B4-BE49-F238E27FC236}">
              <a16:creationId xmlns:a16="http://schemas.microsoft.com/office/drawing/2014/main" id="{00EBF76C-A986-4F6F-AFDB-D99B268E33CD}"/>
            </a:ext>
          </a:extLst>
        </xdr:cNvPr>
        <xdr:cNvSpPr txBox="1"/>
      </xdr:nvSpPr>
      <xdr:spPr>
        <a:xfrm flipH="1">
          <a:off x="24510626" y="52446891"/>
          <a:ext cx="406213" cy="26277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X</a:t>
          </a:r>
          <a:r>
            <a:rPr lang="en-US" sz="1200" baseline="30000">
              <a:latin typeface="Times New Roman" panose="02020603050405020304" pitchFamily="18" charset="0"/>
              <a:cs typeface="Times New Roman" panose="02020603050405020304" pitchFamily="18" charset="0"/>
            </a:rPr>
            <a:t>2</a:t>
          </a:r>
          <a:endParaRPr lang="en-US" sz="12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45</xdr:col>
      <xdr:colOff>80682</xdr:colOff>
      <xdr:row>295</xdr:row>
      <xdr:rowOff>136712</xdr:rowOff>
    </xdr:from>
    <xdr:to>
      <xdr:col>46</xdr:col>
      <xdr:colOff>58270</xdr:colOff>
      <xdr:row>297</xdr:row>
      <xdr:rowOff>80683</xdr:rowOff>
    </xdr:to>
    <xdr:sp macro="" textlink="">
      <xdr:nvSpPr>
        <xdr:cNvPr id="64" name="TextBox 63">
          <a:extLst>
            <a:ext uri="{FF2B5EF4-FFF2-40B4-BE49-F238E27FC236}">
              <a16:creationId xmlns:a16="http://schemas.microsoft.com/office/drawing/2014/main" id="{47F19C54-2E72-4EDB-8FC8-944351B6AA9B}"/>
            </a:ext>
          </a:extLst>
        </xdr:cNvPr>
        <xdr:cNvSpPr txBox="1"/>
      </xdr:nvSpPr>
      <xdr:spPr>
        <a:xfrm flipH="1">
          <a:off x="23982829" y="46596300"/>
          <a:ext cx="358588" cy="25773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p</a:t>
          </a:r>
        </a:p>
      </xdr:txBody>
    </xdr:sp>
    <xdr:clientData/>
  </xdr:twoCellAnchor>
  <xdr:twoCellAnchor>
    <xdr:from>
      <xdr:col>19</xdr:col>
      <xdr:colOff>561975</xdr:colOff>
      <xdr:row>360</xdr:row>
      <xdr:rowOff>76200</xdr:rowOff>
    </xdr:from>
    <xdr:to>
      <xdr:col>27</xdr:col>
      <xdr:colOff>371475</xdr:colOff>
      <xdr:row>377</xdr:row>
      <xdr:rowOff>152400</xdr:rowOff>
    </xdr:to>
    <xdr:graphicFrame macro="">
      <xdr:nvGraphicFramePr>
        <xdr:cNvPr id="6194" name="Chart 1">
          <a:extLst>
            <a:ext uri="{FF2B5EF4-FFF2-40B4-BE49-F238E27FC236}">
              <a16:creationId xmlns:a16="http://schemas.microsoft.com/office/drawing/2014/main" id="{64CCAECF-2941-4653-A116-F48FC0BF9F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19</xdr:col>
      <xdr:colOff>448238</xdr:colOff>
      <xdr:row>358</xdr:row>
      <xdr:rowOff>112060</xdr:rowOff>
    </xdr:from>
    <xdr:to>
      <xdr:col>21</xdr:col>
      <xdr:colOff>228602</xdr:colOff>
      <xdr:row>360</xdr:row>
      <xdr:rowOff>38102</xdr:rowOff>
    </xdr:to>
    <xdr:sp macro="" textlink="">
      <xdr:nvSpPr>
        <xdr:cNvPr id="65" name="TextBox 64">
          <a:extLst>
            <a:ext uri="{FF2B5EF4-FFF2-40B4-BE49-F238E27FC236}">
              <a16:creationId xmlns:a16="http://schemas.microsoft.com/office/drawing/2014/main" id="{1DF9B607-29AB-4111-AD94-5903E2FAE22C}"/>
            </a:ext>
          </a:extLst>
        </xdr:cNvPr>
        <xdr:cNvSpPr txBox="1"/>
      </xdr:nvSpPr>
      <xdr:spPr>
        <a:xfrm>
          <a:off x="11945473" y="57161207"/>
          <a:ext cx="990600" cy="239807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lang="en-US" sz="1600" i="0">
              <a:latin typeface="Times New Roman" panose="02020603050405020304" pitchFamily="18" charset="0"/>
              <a:cs typeface="Times New Roman" panose="02020603050405020304" pitchFamily="18" charset="0"/>
            </a:rPr>
            <a:t>Probability</a:t>
          </a:r>
        </a:p>
      </xdr:txBody>
    </xdr:sp>
    <xdr:clientData/>
  </xdr:twoCellAnchor>
  <xdr:twoCellAnchor>
    <xdr:from>
      <xdr:col>21</xdr:col>
      <xdr:colOff>302559</xdr:colOff>
      <xdr:row>372</xdr:row>
      <xdr:rowOff>112060</xdr:rowOff>
    </xdr:from>
    <xdr:to>
      <xdr:col>22</xdr:col>
      <xdr:colOff>156883</xdr:colOff>
      <xdr:row>374</xdr:row>
      <xdr:rowOff>33619</xdr:rowOff>
    </xdr:to>
    <xdr:sp macro="" textlink="">
      <xdr:nvSpPr>
        <xdr:cNvPr id="66" name="TextBox 65">
          <a:extLst>
            <a:ext uri="{FF2B5EF4-FFF2-40B4-BE49-F238E27FC236}">
              <a16:creationId xmlns:a16="http://schemas.microsoft.com/office/drawing/2014/main" id="{8B5387FD-C83E-4098-8644-AC0C35485F24}"/>
            </a:ext>
          </a:extLst>
        </xdr:cNvPr>
        <xdr:cNvSpPr txBox="1"/>
      </xdr:nvSpPr>
      <xdr:spPr>
        <a:xfrm>
          <a:off x="13010030" y="59357560"/>
          <a:ext cx="459441" cy="235324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lang="en-US" sz="1600" i="1">
              <a:latin typeface="Times New Roman" panose="02020603050405020304" pitchFamily="18" charset="0"/>
              <a:cs typeface="Times New Roman" panose="02020603050405020304" pitchFamily="18" charset="0"/>
            </a:rPr>
            <a:t>k = 1</a:t>
          </a:r>
        </a:p>
      </xdr:txBody>
    </xdr:sp>
    <xdr:clientData/>
  </xdr:twoCellAnchor>
  <xdr:twoCellAnchor>
    <xdr:from>
      <xdr:col>22</xdr:col>
      <xdr:colOff>313765</xdr:colOff>
      <xdr:row>364</xdr:row>
      <xdr:rowOff>152400</xdr:rowOff>
    </xdr:from>
    <xdr:to>
      <xdr:col>23</xdr:col>
      <xdr:colOff>298078</xdr:colOff>
      <xdr:row>366</xdr:row>
      <xdr:rowOff>100852</xdr:rowOff>
    </xdr:to>
    <xdr:sp macro="" textlink="">
      <xdr:nvSpPr>
        <xdr:cNvPr id="67" name="TextBox 66">
          <a:extLst>
            <a:ext uri="{FF2B5EF4-FFF2-40B4-BE49-F238E27FC236}">
              <a16:creationId xmlns:a16="http://schemas.microsoft.com/office/drawing/2014/main" id="{EF9247AA-3E13-4D95-A780-22878B93B495}"/>
            </a:ext>
          </a:extLst>
        </xdr:cNvPr>
        <xdr:cNvSpPr txBox="1"/>
      </xdr:nvSpPr>
      <xdr:spPr>
        <a:xfrm>
          <a:off x="13626353" y="58142841"/>
          <a:ext cx="589431" cy="262217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lang="en-US" sz="1600" i="1">
              <a:latin typeface="Times New Roman" panose="02020603050405020304" pitchFamily="18" charset="0"/>
              <a:cs typeface="Times New Roman" panose="02020603050405020304" pitchFamily="18" charset="0"/>
            </a:rPr>
            <a:t>k = 20</a:t>
          </a:r>
        </a:p>
      </xdr:txBody>
    </xdr:sp>
    <xdr:clientData/>
  </xdr:twoCellAnchor>
  <xdr:twoCellAnchor>
    <xdr:from>
      <xdr:col>27</xdr:col>
      <xdr:colOff>257736</xdr:colOff>
      <xdr:row>374</xdr:row>
      <xdr:rowOff>56029</xdr:rowOff>
    </xdr:from>
    <xdr:to>
      <xdr:col>27</xdr:col>
      <xdr:colOff>358590</xdr:colOff>
      <xdr:row>375</xdr:row>
      <xdr:rowOff>156881</xdr:rowOff>
    </xdr:to>
    <xdr:sp macro="" textlink="">
      <xdr:nvSpPr>
        <xdr:cNvPr id="68" name="TextBox 67">
          <a:extLst>
            <a:ext uri="{FF2B5EF4-FFF2-40B4-BE49-F238E27FC236}">
              <a16:creationId xmlns:a16="http://schemas.microsoft.com/office/drawing/2014/main" id="{E0F2A5D4-C605-4442-AA63-685BC6551B50}"/>
            </a:ext>
          </a:extLst>
        </xdr:cNvPr>
        <xdr:cNvSpPr txBox="1"/>
      </xdr:nvSpPr>
      <xdr:spPr>
        <a:xfrm>
          <a:off x="16517471" y="59615294"/>
          <a:ext cx="100854" cy="257734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lang="en-US" sz="1600" i="1">
              <a:latin typeface="Times New Roman" panose="02020603050405020304" pitchFamily="18" charset="0"/>
              <a:cs typeface="Times New Roman" panose="02020603050405020304" pitchFamily="18" charset="0"/>
            </a:rPr>
            <a:t>t</a:t>
          </a:r>
        </a:p>
      </xdr:txBody>
    </xdr:sp>
    <xdr:clientData/>
  </xdr:twoCellAnchor>
  <xdr:twoCellAnchor>
    <xdr:from>
      <xdr:col>10</xdr:col>
      <xdr:colOff>504825</xdr:colOff>
      <xdr:row>489</xdr:row>
      <xdr:rowOff>76200</xdr:rowOff>
    </xdr:from>
    <xdr:to>
      <xdr:col>20</xdr:col>
      <xdr:colOff>171450</xdr:colOff>
      <xdr:row>510</xdr:row>
      <xdr:rowOff>123825</xdr:rowOff>
    </xdr:to>
    <xdr:graphicFrame macro="">
      <xdr:nvGraphicFramePr>
        <xdr:cNvPr id="6199" name="Chart 5">
          <a:extLst>
            <a:ext uri="{FF2B5EF4-FFF2-40B4-BE49-F238E27FC236}">
              <a16:creationId xmlns:a16="http://schemas.microsoft.com/office/drawing/2014/main" id="{49DDA71D-135A-4DCC-A974-D16137568C3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11</xdr:col>
      <xdr:colOff>44824</xdr:colOff>
      <xdr:row>487</xdr:row>
      <xdr:rowOff>123265</xdr:rowOff>
    </xdr:from>
    <xdr:to>
      <xdr:col>12</xdr:col>
      <xdr:colOff>430306</xdr:colOff>
      <xdr:row>489</xdr:row>
      <xdr:rowOff>49308</xdr:rowOff>
    </xdr:to>
    <xdr:sp macro="" textlink="">
      <xdr:nvSpPr>
        <xdr:cNvPr id="70" name="TextBox 69">
          <a:extLst>
            <a:ext uri="{FF2B5EF4-FFF2-40B4-BE49-F238E27FC236}">
              <a16:creationId xmlns:a16="http://schemas.microsoft.com/office/drawing/2014/main" id="{B12187AC-8773-4310-85AA-2EC48EC71131}"/>
            </a:ext>
          </a:extLst>
        </xdr:cNvPr>
        <xdr:cNvSpPr txBox="1"/>
      </xdr:nvSpPr>
      <xdr:spPr>
        <a:xfrm>
          <a:off x="6701118" y="77410236"/>
          <a:ext cx="990600" cy="239807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lang="en-US" sz="1600" i="0">
              <a:latin typeface="Times New Roman" panose="02020603050405020304" pitchFamily="18" charset="0"/>
              <a:cs typeface="Times New Roman" panose="02020603050405020304" pitchFamily="18" charset="0"/>
            </a:rPr>
            <a:t>Probability</a:t>
          </a:r>
        </a:p>
      </xdr:txBody>
    </xdr:sp>
    <xdr:clientData/>
  </xdr:twoCellAnchor>
  <xdr:twoCellAnchor>
    <xdr:from>
      <xdr:col>20</xdr:col>
      <xdr:colOff>91327</xdr:colOff>
      <xdr:row>505</xdr:row>
      <xdr:rowOff>104215</xdr:rowOff>
    </xdr:from>
    <xdr:to>
      <xdr:col>20</xdr:col>
      <xdr:colOff>225798</xdr:colOff>
      <xdr:row>507</xdr:row>
      <xdr:rowOff>36980</xdr:rowOff>
    </xdr:to>
    <xdr:sp macro="" textlink="">
      <xdr:nvSpPr>
        <xdr:cNvPr id="71" name="TextBox 70">
          <a:extLst>
            <a:ext uri="{FF2B5EF4-FFF2-40B4-BE49-F238E27FC236}">
              <a16:creationId xmlns:a16="http://schemas.microsoft.com/office/drawing/2014/main" id="{7A812891-624C-4968-B93F-A8404A14D0A7}"/>
            </a:ext>
          </a:extLst>
        </xdr:cNvPr>
        <xdr:cNvSpPr txBox="1"/>
      </xdr:nvSpPr>
      <xdr:spPr>
        <a:xfrm>
          <a:off x="12283327" y="82628815"/>
          <a:ext cx="134471" cy="256615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lang="en-US" sz="1600" i="0">
              <a:latin typeface="Times New Roman" panose="02020603050405020304" pitchFamily="18" charset="0"/>
              <a:cs typeface="Times New Roman" panose="02020603050405020304" pitchFamily="18" charset="0"/>
            </a:rPr>
            <a:t>x</a:t>
          </a:r>
        </a:p>
      </xdr:txBody>
    </xdr:sp>
    <xdr:clientData/>
  </xdr:twoCellAnchor>
  <xdr:twoCellAnchor>
    <xdr:from>
      <xdr:col>14</xdr:col>
      <xdr:colOff>238125</xdr:colOff>
      <xdr:row>503</xdr:row>
      <xdr:rowOff>152400</xdr:rowOff>
    </xdr:from>
    <xdr:to>
      <xdr:col>16</xdr:col>
      <xdr:colOff>257175</xdr:colOff>
      <xdr:row>505</xdr:row>
      <xdr:rowOff>104949</xdr:rowOff>
    </xdr:to>
    <xdr:sp macro="" textlink="">
      <xdr:nvSpPr>
        <xdr:cNvPr id="72" name="TextBox 29">
          <a:extLst>
            <a:ext uri="{FF2B5EF4-FFF2-40B4-BE49-F238E27FC236}">
              <a16:creationId xmlns:a16="http://schemas.microsoft.com/office/drawing/2014/main" id="{426D4E37-DDCD-4236-B6E5-B5BE80FF2535}"/>
            </a:ext>
          </a:extLst>
        </xdr:cNvPr>
        <xdr:cNvSpPr txBox="1"/>
      </xdr:nvSpPr>
      <xdr:spPr>
        <a:xfrm>
          <a:off x="8772525" y="82353150"/>
          <a:ext cx="1238250" cy="276399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0" tIns="0" rIns="0" bIns="0" rtlCol="0" anchor="t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sz="1600" i="1">
              <a:latin typeface="Times New Roman" panose="02020603050405020304" pitchFamily="18" charset="0"/>
              <a:cs typeface="Times New Roman" panose="02020603050405020304" pitchFamily="18" charset="0"/>
            </a:rPr>
            <a:t>k</a:t>
          </a:r>
          <a:r>
            <a:rPr lang="en-US" sz="1600" i="1" baseline="-25000">
              <a:latin typeface="Times New Roman" panose="02020603050405020304" pitchFamily="18" charset="0"/>
              <a:cs typeface="Times New Roman" panose="02020603050405020304" pitchFamily="18" charset="0"/>
            </a:rPr>
            <a:t>1</a:t>
          </a:r>
          <a:r>
            <a:rPr lang="en-US" sz="1600" i="1">
              <a:latin typeface="Times New Roman" panose="02020603050405020304" pitchFamily="18" charset="0"/>
              <a:cs typeface="Times New Roman" panose="02020603050405020304" pitchFamily="18" charset="0"/>
            </a:rPr>
            <a:t> = 1, k</a:t>
          </a:r>
          <a:r>
            <a:rPr lang="en-US" sz="1600" i="1" baseline="-25000">
              <a:latin typeface="Times New Roman" panose="02020603050405020304" pitchFamily="18" charset="0"/>
              <a:cs typeface="Times New Roman" panose="02020603050405020304" pitchFamily="18" charset="0"/>
            </a:rPr>
            <a:t>2</a:t>
          </a:r>
          <a:r>
            <a:rPr lang="en-US" sz="1600" i="1">
              <a:latin typeface="Times New Roman" panose="02020603050405020304" pitchFamily="18" charset="0"/>
              <a:cs typeface="Times New Roman" panose="02020603050405020304" pitchFamily="18" charset="0"/>
            </a:rPr>
            <a:t> = 1</a:t>
          </a:r>
        </a:p>
        <a:p>
          <a:endParaRPr lang="en-US" sz="1600" i="1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13</xdr:col>
      <xdr:colOff>304800</xdr:colOff>
      <xdr:row>501</xdr:row>
      <xdr:rowOff>152400</xdr:rowOff>
    </xdr:from>
    <xdr:to>
      <xdr:col>15</xdr:col>
      <xdr:colOff>323850</xdr:colOff>
      <xdr:row>503</xdr:row>
      <xdr:rowOff>104949</xdr:rowOff>
    </xdr:to>
    <xdr:sp macro="" textlink="">
      <xdr:nvSpPr>
        <xdr:cNvPr id="74" name="TextBox 29">
          <a:extLst>
            <a:ext uri="{FF2B5EF4-FFF2-40B4-BE49-F238E27FC236}">
              <a16:creationId xmlns:a16="http://schemas.microsoft.com/office/drawing/2014/main" id="{57219CC5-7C3E-4392-B336-A7FE94EF60CC}"/>
            </a:ext>
          </a:extLst>
        </xdr:cNvPr>
        <xdr:cNvSpPr txBox="1"/>
      </xdr:nvSpPr>
      <xdr:spPr>
        <a:xfrm>
          <a:off x="8229600" y="82029300"/>
          <a:ext cx="1238250" cy="276399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0" tIns="0" rIns="0" bIns="0" rtlCol="0" anchor="t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sz="1600" i="1">
              <a:latin typeface="Times New Roman" panose="02020603050405020304" pitchFamily="18" charset="0"/>
              <a:cs typeface="Times New Roman" panose="02020603050405020304" pitchFamily="18" charset="0"/>
            </a:rPr>
            <a:t>k</a:t>
          </a:r>
          <a:r>
            <a:rPr lang="en-US" sz="1600" i="1" baseline="-25000">
              <a:latin typeface="Times New Roman" panose="02020603050405020304" pitchFamily="18" charset="0"/>
              <a:cs typeface="Times New Roman" panose="02020603050405020304" pitchFamily="18" charset="0"/>
            </a:rPr>
            <a:t>1</a:t>
          </a:r>
          <a:r>
            <a:rPr lang="en-US" sz="1600" i="1">
              <a:latin typeface="Times New Roman" panose="02020603050405020304" pitchFamily="18" charset="0"/>
              <a:cs typeface="Times New Roman" panose="02020603050405020304" pitchFamily="18" charset="0"/>
            </a:rPr>
            <a:t> = 5, k</a:t>
          </a:r>
          <a:r>
            <a:rPr lang="en-US" sz="1600" i="1" baseline="-25000">
              <a:latin typeface="Times New Roman" panose="02020603050405020304" pitchFamily="18" charset="0"/>
              <a:cs typeface="Times New Roman" panose="02020603050405020304" pitchFamily="18" charset="0"/>
            </a:rPr>
            <a:t>2</a:t>
          </a:r>
          <a:r>
            <a:rPr lang="en-US" sz="1600" i="1">
              <a:latin typeface="Times New Roman" panose="02020603050405020304" pitchFamily="18" charset="0"/>
              <a:cs typeface="Times New Roman" panose="02020603050405020304" pitchFamily="18" charset="0"/>
            </a:rPr>
            <a:t> = 5</a:t>
          </a:r>
        </a:p>
        <a:p>
          <a:endParaRPr lang="en-US" sz="1600" i="1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13</xdr:col>
      <xdr:colOff>190499</xdr:colOff>
      <xdr:row>499</xdr:row>
      <xdr:rowOff>28575</xdr:rowOff>
    </xdr:from>
    <xdr:to>
      <xdr:col>15</xdr:col>
      <xdr:colOff>381000</xdr:colOff>
      <xdr:row>500</xdr:row>
      <xdr:rowOff>143049</xdr:rowOff>
    </xdr:to>
    <xdr:sp macro="" textlink="">
      <xdr:nvSpPr>
        <xdr:cNvPr id="75" name="TextBox 29">
          <a:extLst>
            <a:ext uri="{FF2B5EF4-FFF2-40B4-BE49-F238E27FC236}">
              <a16:creationId xmlns:a16="http://schemas.microsoft.com/office/drawing/2014/main" id="{1B5623C5-F44D-48F0-9C96-79C860A5B652}"/>
            </a:ext>
          </a:extLst>
        </xdr:cNvPr>
        <xdr:cNvSpPr txBox="1"/>
      </xdr:nvSpPr>
      <xdr:spPr>
        <a:xfrm>
          <a:off x="8115299" y="81581625"/>
          <a:ext cx="1409701" cy="276399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0" tIns="0" rIns="0" bIns="0" rtlCol="0" anchor="t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sz="1600" i="1">
              <a:latin typeface="Times New Roman" panose="02020603050405020304" pitchFamily="18" charset="0"/>
              <a:cs typeface="Times New Roman" panose="02020603050405020304" pitchFamily="18" charset="0"/>
            </a:rPr>
            <a:t>k</a:t>
          </a:r>
          <a:r>
            <a:rPr lang="en-US" sz="1600" i="1" baseline="-25000">
              <a:latin typeface="Times New Roman" panose="02020603050405020304" pitchFamily="18" charset="0"/>
              <a:cs typeface="Times New Roman" panose="02020603050405020304" pitchFamily="18" charset="0"/>
            </a:rPr>
            <a:t>1</a:t>
          </a:r>
          <a:r>
            <a:rPr lang="en-US" sz="1600" i="1">
              <a:latin typeface="Times New Roman" panose="02020603050405020304" pitchFamily="18" charset="0"/>
              <a:cs typeface="Times New Roman" panose="02020603050405020304" pitchFamily="18" charset="0"/>
            </a:rPr>
            <a:t> = 20, k</a:t>
          </a:r>
          <a:r>
            <a:rPr lang="en-US" sz="1600" i="1" baseline="-25000">
              <a:latin typeface="Times New Roman" panose="02020603050405020304" pitchFamily="18" charset="0"/>
              <a:cs typeface="Times New Roman" panose="02020603050405020304" pitchFamily="18" charset="0"/>
            </a:rPr>
            <a:t>2</a:t>
          </a:r>
          <a:r>
            <a:rPr lang="en-US" sz="1600" i="1">
              <a:latin typeface="Times New Roman" panose="02020603050405020304" pitchFamily="18" charset="0"/>
              <a:cs typeface="Times New Roman" panose="02020603050405020304" pitchFamily="18" charset="0"/>
            </a:rPr>
            <a:t> = 20</a:t>
          </a:r>
        </a:p>
        <a:p>
          <a:endParaRPr lang="en-US" sz="1600" i="1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13</xdr:col>
      <xdr:colOff>57150</xdr:colOff>
      <xdr:row>492</xdr:row>
      <xdr:rowOff>104775</xdr:rowOff>
    </xdr:from>
    <xdr:to>
      <xdr:col>15</xdr:col>
      <xdr:colOff>485775</xdr:colOff>
      <xdr:row>494</xdr:row>
      <xdr:rowOff>57324</xdr:rowOff>
    </xdr:to>
    <xdr:sp macro="" textlink="">
      <xdr:nvSpPr>
        <xdr:cNvPr id="76" name="TextBox 29">
          <a:extLst>
            <a:ext uri="{FF2B5EF4-FFF2-40B4-BE49-F238E27FC236}">
              <a16:creationId xmlns:a16="http://schemas.microsoft.com/office/drawing/2014/main" id="{4BDC84AA-7F51-4479-94FE-ACD68C5EF6D3}"/>
            </a:ext>
          </a:extLst>
        </xdr:cNvPr>
        <xdr:cNvSpPr txBox="1"/>
      </xdr:nvSpPr>
      <xdr:spPr>
        <a:xfrm>
          <a:off x="7981950" y="80524350"/>
          <a:ext cx="1647825" cy="276399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0" tIns="0" rIns="0" bIns="0" rtlCol="0" anchor="t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sz="1600" i="1">
              <a:latin typeface="Times New Roman" panose="02020603050405020304" pitchFamily="18" charset="0"/>
              <a:cs typeface="Times New Roman" panose="02020603050405020304" pitchFamily="18" charset="0"/>
            </a:rPr>
            <a:t>k</a:t>
          </a:r>
          <a:r>
            <a:rPr lang="en-US" sz="1600" i="1" baseline="-25000">
              <a:latin typeface="Times New Roman" panose="02020603050405020304" pitchFamily="18" charset="0"/>
              <a:cs typeface="Times New Roman" panose="02020603050405020304" pitchFamily="18" charset="0"/>
            </a:rPr>
            <a:t>1</a:t>
          </a:r>
          <a:r>
            <a:rPr lang="en-US" sz="1600" i="1">
              <a:latin typeface="Times New Roman" panose="02020603050405020304" pitchFamily="18" charset="0"/>
              <a:cs typeface="Times New Roman" panose="02020603050405020304" pitchFamily="18" charset="0"/>
            </a:rPr>
            <a:t> = 100, k</a:t>
          </a:r>
          <a:r>
            <a:rPr lang="en-US" sz="1600" i="1" baseline="-25000">
              <a:latin typeface="Times New Roman" panose="02020603050405020304" pitchFamily="18" charset="0"/>
              <a:cs typeface="Times New Roman" panose="02020603050405020304" pitchFamily="18" charset="0"/>
            </a:rPr>
            <a:t>2</a:t>
          </a:r>
          <a:r>
            <a:rPr lang="en-US" sz="1600" i="1">
              <a:latin typeface="Times New Roman" panose="02020603050405020304" pitchFamily="18" charset="0"/>
              <a:cs typeface="Times New Roman" panose="02020603050405020304" pitchFamily="18" charset="0"/>
            </a:rPr>
            <a:t> = 100</a:t>
          </a:r>
        </a:p>
        <a:p>
          <a:endParaRPr lang="en-US" sz="1600" i="1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13</xdr:col>
      <xdr:colOff>9526</xdr:colOff>
      <xdr:row>504</xdr:row>
      <xdr:rowOff>123825</xdr:rowOff>
    </xdr:from>
    <xdr:to>
      <xdr:col>14</xdr:col>
      <xdr:colOff>190500</xdr:colOff>
      <xdr:row>505</xdr:row>
      <xdr:rowOff>66675</xdr:rowOff>
    </xdr:to>
    <xdr:cxnSp macro="">
      <xdr:nvCxnSpPr>
        <xdr:cNvPr id="11" name="Straight Arrow Connector 10">
          <a:extLst>
            <a:ext uri="{FF2B5EF4-FFF2-40B4-BE49-F238E27FC236}">
              <a16:creationId xmlns:a16="http://schemas.microsoft.com/office/drawing/2014/main" id="{BA5D9710-CE4C-4C29-9DE6-4E13A8A8F374}"/>
            </a:ext>
          </a:extLst>
        </xdr:cNvPr>
        <xdr:cNvCxnSpPr/>
      </xdr:nvCxnSpPr>
      <xdr:spPr>
        <a:xfrm flipH="1">
          <a:off x="7934326" y="82486500"/>
          <a:ext cx="790574" cy="104775"/>
        </a:xfrm>
        <a:prstGeom prst="straightConnector1">
          <a:avLst/>
        </a:prstGeom>
        <a:ln>
          <a:solidFill>
            <a:schemeClr val="tx1"/>
          </a:solidFill>
          <a:prstDash val="dash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590551</xdr:colOff>
      <xdr:row>503</xdr:row>
      <xdr:rowOff>0</xdr:rowOff>
    </xdr:from>
    <xdr:to>
      <xdr:col>13</xdr:col>
      <xdr:colOff>295275</xdr:colOff>
      <xdr:row>503</xdr:row>
      <xdr:rowOff>114300</xdr:rowOff>
    </xdr:to>
    <xdr:cxnSp macro="">
      <xdr:nvCxnSpPr>
        <xdr:cNvPr id="77" name="Straight Arrow Connector 76">
          <a:extLst>
            <a:ext uri="{FF2B5EF4-FFF2-40B4-BE49-F238E27FC236}">
              <a16:creationId xmlns:a16="http://schemas.microsoft.com/office/drawing/2014/main" id="{E92EC3C4-58CF-43CB-9B86-9719A1F6CD3E}"/>
            </a:ext>
          </a:extLst>
        </xdr:cNvPr>
        <xdr:cNvCxnSpPr/>
      </xdr:nvCxnSpPr>
      <xdr:spPr>
        <a:xfrm flipH="1">
          <a:off x="7905751" y="82200750"/>
          <a:ext cx="314324" cy="114300"/>
        </a:xfrm>
        <a:prstGeom prst="straightConnector1">
          <a:avLst/>
        </a:prstGeom>
        <a:ln>
          <a:solidFill>
            <a:schemeClr val="tx1"/>
          </a:solidFill>
          <a:prstDash val="dash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600076</xdr:colOff>
      <xdr:row>500</xdr:row>
      <xdr:rowOff>19050</xdr:rowOff>
    </xdr:from>
    <xdr:to>
      <xdr:col>13</xdr:col>
      <xdr:colOff>142875</xdr:colOff>
      <xdr:row>500</xdr:row>
      <xdr:rowOff>104775</xdr:rowOff>
    </xdr:to>
    <xdr:cxnSp macro="">
      <xdr:nvCxnSpPr>
        <xdr:cNvPr id="78" name="Straight Arrow Connector 77">
          <a:extLst>
            <a:ext uri="{FF2B5EF4-FFF2-40B4-BE49-F238E27FC236}">
              <a16:creationId xmlns:a16="http://schemas.microsoft.com/office/drawing/2014/main" id="{A0B9A406-5ECF-434A-B127-163E90EBB4CF}"/>
            </a:ext>
          </a:extLst>
        </xdr:cNvPr>
        <xdr:cNvCxnSpPr/>
      </xdr:nvCxnSpPr>
      <xdr:spPr>
        <a:xfrm flipH="1">
          <a:off x="7915276" y="81734025"/>
          <a:ext cx="152399" cy="85725"/>
        </a:xfrm>
        <a:prstGeom prst="straightConnector1">
          <a:avLst/>
        </a:prstGeom>
        <a:ln>
          <a:solidFill>
            <a:schemeClr val="tx1"/>
          </a:solidFill>
          <a:prstDash val="dash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76200</xdr:colOff>
      <xdr:row>529</xdr:row>
      <xdr:rowOff>47625</xdr:rowOff>
    </xdr:from>
    <xdr:to>
      <xdr:col>14</xdr:col>
      <xdr:colOff>381000</xdr:colOff>
      <xdr:row>546</xdr:row>
      <xdr:rowOff>38100</xdr:rowOff>
    </xdr:to>
    <xdr:graphicFrame macro="">
      <xdr:nvGraphicFramePr>
        <xdr:cNvPr id="6209" name="Chart 7">
          <a:extLst>
            <a:ext uri="{FF2B5EF4-FFF2-40B4-BE49-F238E27FC236}">
              <a16:creationId xmlns:a16="http://schemas.microsoft.com/office/drawing/2014/main" id="{2CE2959A-5112-4497-A1EA-36AC844F3A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10</xdr:col>
      <xdr:colOff>28575</xdr:colOff>
      <xdr:row>556</xdr:row>
      <xdr:rowOff>9525</xdr:rowOff>
    </xdr:from>
    <xdr:to>
      <xdr:col>19</xdr:col>
      <xdr:colOff>163285</xdr:colOff>
      <xdr:row>580</xdr:row>
      <xdr:rowOff>9525</xdr:rowOff>
    </xdr:to>
    <xdr:graphicFrame macro="">
      <xdr:nvGraphicFramePr>
        <xdr:cNvPr id="6210" name="Chart 8">
          <a:extLst>
            <a:ext uri="{FF2B5EF4-FFF2-40B4-BE49-F238E27FC236}">
              <a16:creationId xmlns:a16="http://schemas.microsoft.com/office/drawing/2014/main" id="{7B5E4723-BB5F-47A4-9FEE-8708A43F6C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20</xdr:col>
      <xdr:colOff>168727</xdr:colOff>
      <xdr:row>555</xdr:row>
      <xdr:rowOff>68035</xdr:rowOff>
    </xdr:from>
    <xdr:to>
      <xdr:col>29</xdr:col>
      <xdr:colOff>299355</xdr:colOff>
      <xdr:row>578</xdr:row>
      <xdr:rowOff>95250</xdr:rowOff>
    </xdr:to>
    <xdr:graphicFrame macro="">
      <xdr:nvGraphicFramePr>
        <xdr:cNvPr id="6211" name="Chart 11">
          <a:extLst>
            <a:ext uri="{FF2B5EF4-FFF2-40B4-BE49-F238E27FC236}">
              <a16:creationId xmlns:a16="http://schemas.microsoft.com/office/drawing/2014/main" id="{569DB630-CF01-41BF-BACC-08ED86D233C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10</xdr:col>
      <xdr:colOff>76200</xdr:colOff>
      <xdr:row>554</xdr:row>
      <xdr:rowOff>38100</xdr:rowOff>
    </xdr:from>
    <xdr:to>
      <xdr:col>11</xdr:col>
      <xdr:colOff>461682</xdr:colOff>
      <xdr:row>555</xdr:row>
      <xdr:rowOff>126068</xdr:rowOff>
    </xdr:to>
    <xdr:sp macro="" textlink="">
      <xdr:nvSpPr>
        <xdr:cNvPr id="79" name="TextBox 78">
          <a:extLst>
            <a:ext uri="{FF2B5EF4-FFF2-40B4-BE49-F238E27FC236}">
              <a16:creationId xmlns:a16="http://schemas.microsoft.com/office/drawing/2014/main" id="{C9C969CB-A8AE-4FBC-986D-EB6D95871700}"/>
            </a:ext>
          </a:extLst>
        </xdr:cNvPr>
        <xdr:cNvSpPr txBox="1"/>
      </xdr:nvSpPr>
      <xdr:spPr>
        <a:xfrm>
          <a:off x="6858000" y="90497025"/>
          <a:ext cx="995082" cy="249893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endParaRPr lang="en-US"/>
        </a:p>
      </xdr:txBody>
    </xdr:sp>
    <xdr:clientData/>
  </xdr:twoCellAnchor>
  <xdr:twoCellAnchor>
    <xdr:from>
      <xdr:col>19</xdr:col>
      <xdr:colOff>46264</xdr:colOff>
      <xdr:row>575</xdr:row>
      <xdr:rowOff>149679</xdr:rowOff>
    </xdr:from>
    <xdr:to>
      <xdr:col>19</xdr:col>
      <xdr:colOff>312964</xdr:colOff>
      <xdr:row>577</xdr:row>
      <xdr:rowOff>40262</xdr:rowOff>
    </xdr:to>
    <xdr:sp macro="" textlink="">
      <xdr:nvSpPr>
        <xdr:cNvPr id="83" name="TextBox 82">
          <a:extLst>
            <a:ext uri="{FF2B5EF4-FFF2-40B4-BE49-F238E27FC236}">
              <a16:creationId xmlns:a16="http://schemas.microsoft.com/office/drawing/2014/main" id="{609844CA-01C4-4929-A45F-202E8A91C985}"/>
            </a:ext>
          </a:extLst>
        </xdr:cNvPr>
        <xdr:cNvSpPr txBox="1"/>
      </xdr:nvSpPr>
      <xdr:spPr>
        <a:xfrm>
          <a:off x="11830050" y="95399679"/>
          <a:ext cx="266700" cy="217154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lang="en-US" sz="2000" i="0">
              <a:latin typeface="Times New Roman" panose="02020603050405020304" pitchFamily="18" charset="0"/>
              <a:cs typeface="Times New Roman" panose="02020603050405020304" pitchFamily="18" charset="0"/>
            </a:rPr>
            <a:t>x</a:t>
          </a:r>
        </a:p>
      </xdr:txBody>
    </xdr:sp>
    <xdr:clientData/>
  </xdr:twoCellAnchor>
  <xdr:twoCellAnchor>
    <xdr:from>
      <xdr:col>20</xdr:col>
      <xdr:colOff>159205</xdr:colOff>
      <xdr:row>553</xdr:row>
      <xdr:rowOff>40823</xdr:rowOff>
    </xdr:from>
    <xdr:to>
      <xdr:col>22</xdr:col>
      <xdr:colOff>299358</xdr:colOff>
      <xdr:row>555</xdr:row>
      <xdr:rowOff>149680</xdr:rowOff>
    </xdr:to>
    <xdr:sp macro="" textlink="">
      <xdr:nvSpPr>
        <xdr:cNvPr id="82" name="TextBox 81">
          <a:extLst>
            <a:ext uri="{FF2B5EF4-FFF2-40B4-BE49-F238E27FC236}">
              <a16:creationId xmlns:a16="http://schemas.microsoft.com/office/drawing/2014/main" id="{D4350746-BB0F-4781-93EA-C43DD54278AE}"/>
            </a:ext>
          </a:extLst>
        </xdr:cNvPr>
        <xdr:cNvSpPr txBox="1"/>
      </xdr:nvSpPr>
      <xdr:spPr>
        <a:xfrm>
          <a:off x="12555312" y="91698537"/>
          <a:ext cx="1364796" cy="435429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lang="en-US" sz="2000" i="0">
              <a:latin typeface="Times New Roman" panose="02020603050405020304" pitchFamily="18" charset="0"/>
              <a:cs typeface="Times New Roman" panose="02020603050405020304" pitchFamily="18" charset="0"/>
            </a:rPr>
            <a:t>Frequency</a:t>
          </a:r>
        </a:p>
      </xdr:txBody>
    </xdr:sp>
    <xdr:clientData/>
  </xdr:twoCellAnchor>
  <xdr:twoCellAnchor>
    <xdr:from>
      <xdr:col>27</xdr:col>
      <xdr:colOff>484414</xdr:colOff>
      <xdr:row>565</xdr:row>
      <xdr:rowOff>149679</xdr:rowOff>
    </xdr:from>
    <xdr:to>
      <xdr:col>28</xdr:col>
      <xdr:colOff>217714</xdr:colOff>
      <xdr:row>567</xdr:row>
      <xdr:rowOff>149678</xdr:rowOff>
    </xdr:to>
    <xdr:sp macro="" textlink="">
      <xdr:nvSpPr>
        <xdr:cNvPr id="84" name="TextBox 83">
          <a:extLst>
            <a:ext uri="{FF2B5EF4-FFF2-40B4-BE49-F238E27FC236}">
              <a16:creationId xmlns:a16="http://schemas.microsoft.com/office/drawing/2014/main" id="{EBF4BD1F-9908-4246-9253-51A9B9D4FA85}"/>
            </a:ext>
          </a:extLst>
        </xdr:cNvPr>
        <xdr:cNvSpPr txBox="1"/>
      </xdr:nvSpPr>
      <xdr:spPr>
        <a:xfrm>
          <a:off x="17166771" y="93766822"/>
          <a:ext cx="263979" cy="326570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lang="en-US" sz="2000" i="0">
              <a:latin typeface="Times New Roman" panose="02020603050405020304" pitchFamily="18" charset="0"/>
              <a:cs typeface="Times New Roman" panose="02020603050405020304" pitchFamily="18" charset="0"/>
            </a:rPr>
            <a:t>x</a:t>
          </a:r>
        </a:p>
      </xdr:txBody>
    </xdr:sp>
    <xdr:clientData/>
  </xdr:twoCellAnchor>
  <xdr:twoCellAnchor>
    <xdr:from>
      <xdr:col>25</xdr:col>
      <xdr:colOff>239485</xdr:colOff>
      <xdr:row>572</xdr:row>
      <xdr:rowOff>125186</xdr:rowOff>
    </xdr:from>
    <xdr:to>
      <xdr:col>26</xdr:col>
      <xdr:colOff>68035</xdr:colOff>
      <xdr:row>574</xdr:row>
      <xdr:rowOff>149679</xdr:rowOff>
    </xdr:to>
    <xdr:sp macro="" textlink="">
      <xdr:nvSpPr>
        <xdr:cNvPr id="86" name="TextBox 85">
          <a:extLst>
            <a:ext uri="{FF2B5EF4-FFF2-40B4-BE49-F238E27FC236}">
              <a16:creationId xmlns:a16="http://schemas.microsoft.com/office/drawing/2014/main" id="{F37B636F-340B-4CE0-AB5E-B77EF6783D5E}"/>
            </a:ext>
          </a:extLst>
        </xdr:cNvPr>
        <xdr:cNvSpPr txBox="1"/>
      </xdr:nvSpPr>
      <xdr:spPr>
        <a:xfrm>
          <a:off x="15697199" y="94885329"/>
          <a:ext cx="672193" cy="351064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lang="en-US" sz="2000" i="0">
              <a:latin typeface="Times New Roman" panose="02020603050405020304" pitchFamily="18" charset="0"/>
              <a:cs typeface="Times New Roman" panose="02020603050405020304" pitchFamily="18" charset="0"/>
            </a:rPr>
            <a:t>Log10</a:t>
          </a:r>
        </a:p>
      </xdr:txBody>
    </xdr:sp>
    <xdr:clientData/>
  </xdr:twoCellAnchor>
  <xdr:twoCellAnchor>
    <xdr:from>
      <xdr:col>26</xdr:col>
      <xdr:colOff>88446</xdr:colOff>
      <xdr:row>563</xdr:row>
      <xdr:rowOff>96610</xdr:rowOff>
    </xdr:from>
    <xdr:to>
      <xdr:col>27</xdr:col>
      <xdr:colOff>312964</xdr:colOff>
      <xdr:row>565</xdr:row>
      <xdr:rowOff>108857</xdr:rowOff>
    </xdr:to>
    <xdr:sp macro="" textlink="">
      <xdr:nvSpPr>
        <xdr:cNvPr id="88" name="TextBox 87">
          <a:extLst>
            <a:ext uri="{FF2B5EF4-FFF2-40B4-BE49-F238E27FC236}">
              <a16:creationId xmlns:a16="http://schemas.microsoft.com/office/drawing/2014/main" id="{5F1ABD24-265C-4D1D-A01C-0FA0143CEC2B}"/>
            </a:ext>
          </a:extLst>
        </xdr:cNvPr>
        <xdr:cNvSpPr txBox="1"/>
      </xdr:nvSpPr>
      <xdr:spPr>
        <a:xfrm>
          <a:off x="16389803" y="93387181"/>
          <a:ext cx="605518" cy="338819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lang="en-US" sz="2000" i="0">
              <a:latin typeface="Times New Roman" panose="02020603050405020304" pitchFamily="18" charset="0"/>
              <a:cs typeface="Times New Roman" panose="02020603050405020304" pitchFamily="18" charset="0"/>
            </a:rPr>
            <a:t>Sqrt</a:t>
          </a:r>
        </a:p>
      </xdr:txBody>
    </xdr:sp>
    <xdr:clientData/>
  </xdr:twoCellAnchor>
  <xdr:twoCellAnchor>
    <xdr:from>
      <xdr:col>9</xdr:col>
      <xdr:colOff>590550</xdr:colOff>
      <xdr:row>554</xdr:row>
      <xdr:rowOff>66675</xdr:rowOff>
    </xdr:from>
    <xdr:to>
      <xdr:col>11</xdr:col>
      <xdr:colOff>366432</xdr:colOff>
      <xdr:row>555</xdr:row>
      <xdr:rowOff>154643</xdr:rowOff>
    </xdr:to>
    <xdr:sp macro="" textlink="">
      <xdr:nvSpPr>
        <xdr:cNvPr id="89" name="TextBox 88">
          <a:extLst>
            <a:ext uri="{FF2B5EF4-FFF2-40B4-BE49-F238E27FC236}">
              <a16:creationId xmlns:a16="http://schemas.microsoft.com/office/drawing/2014/main" id="{0FFB6F2C-25FF-4D7A-ADA6-3B9C90F10B54}"/>
            </a:ext>
          </a:extLst>
        </xdr:cNvPr>
        <xdr:cNvSpPr txBox="1"/>
      </xdr:nvSpPr>
      <xdr:spPr>
        <a:xfrm>
          <a:off x="6762750" y="90525600"/>
          <a:ext cx="995082" cy="249893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lang="en-US" sz="1600" i="0">
              <a:latin typeface="Times New Roman" panose="02020603050405020304" pitchFamily="18" charset="0"/>
              <a:cs typeface="Times New Roman" panose="02020603050405020304" pitchFamily="18" charset="0"/>
            </a:rPr>
            <a:t>Frequency</a:t>
          </a:r>
        </a:p>
      </xdr:txBody>
    </xdr:sp>
    <xdr:clientData/>
  </xdr:twoCellAnchor>
  <xdr:twoCellAnchor>
    <xdr:from>
      <xdr:col>14</xdr:col>
      <xdr:colOff>352425</xdr:colOff>
      <xdr:row>581</xdr:row>
      <xdr:rowOff>43543</xdr:rowOff>
    </xdr:from>
    <xdr:to>
      <xdr:col>25</xdr:col>
      <xdr:colOff>542925</xdr:colOff>
      <xdr:row>582</xdr:row>
      <xdr:rowOff>132871</xdr:rowOff>
    </xdr:to>
    <xdr:sp macro="" textlink="">
      <xdr:nvSpPr>
        <xdr:cNvPr id="90" name="TextBox 89">
          <a:extLst>
            <a:ext uri="{FF2B5EF4-FFF2-40B4-BE49-F238E27FC236}">
              <a16:creationId xmlns:a16="http://schemas.microsoft.com/office/drawing/2014/main" id="{65B18138-24BA-4C1E-97A4-283C55F95668}"/>
            </a:ext>
          </a:extLst>
        </xdr:cNvPr>
        <xdr:cNvSpPr txBox="1"/>
      </xdr:nvSpPr>
      <xdr:spPr>
        <a:xfrm>
          <a:off x="9074604" y="96273257"/>
          <a:ext cx="6926035" cy="252614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lang="en-US" sz="2000" i="0">
              <a:latin typeface="Times New Roman" panose="02020603050405020304" pitchFamily="18" charset="0"/>
              <a:cs typeface="Times New Roman" panose="02020603050405020304" pitchFamily="18" charset="0"/>
            </a:rPr>
            <a:t>(a)					</a:t>
          </a:r>
          <a:r>
            <a:rPr lang="en-US" sz="2000" i="0" baseline="0">
              <a:latin typeface="Times New Roman" panose="02020603050405020304" pitchFamily="18" charset="0"/>
              <a:cs typeface="Times New Roman" panose="02020603050405020304" pitchFamily="18" charset="0"/>
            </a:rPr>
            <a:t>             (b)</a:t>
          </a:r>
          <a:endParaRPr lang="en-US" sz="2000" i="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12</xdr:col>
      <xdr:colOff>142875</xdr:colOff>
      <xdr:row>761</xdr:row>
      <xdr:rowOff>47625</xdr:rowOff>
    </xdr:from>
    <xdr:to>
      <xdr:col>20</xdr:col>
      <xdr:colOff>352425</xdr:colOff>
      <xdr:row>774</xdr:row>
      <xdr:rowOff>47625</xdr:rowOff>
    </xdr:to>
    <xdr:graphicFrame macro="">
      <xdr:nvGraphicFramePr>
        <xdr:cNvPr id="6222" name="Chart 12">
          <a:extLst>
            <a:ext uri="{FF2B5EF4-FFF2-40B4-BE49-F238E27FC236}">
              <a16:creationId xmlns:a16="http://schemas.microsoft.com/office/drawing/2014/main" id="{6340444E-CD41-42DA-86FB-C43E303321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10</xdr:col>
      <xdr:colOff>171450</xdr:colOff>
      <xdr:row>651</xdr:row>
      <xdr:rowOff>104775</xdr:rowOff>
    </xdr:from>
    <xdr:to>
      <xdr:col>17</xdr:col>
      <xdr:colOff>476250</xdr:colOff>
      <xdr:row>668</xdr:row>
      <xdr:rowOff>95250</xdr:rowOff>
    </xdr:to>
    <xdr:graphicFrame macro="">
      <xdr:nvGraphicFramePr>
        <xdr:cNvPr id="6223" name="Chart 15">
          <a:extLst>
            <a:ext uri="{FF2B5EF4-FFF2-40B4-BE49-F238E27FC236}">
              <a16:creationId xmlns:a16="http://schemas.microsoft.com/office/drawing/2014/main" id="{3E53DDFA-4BA6-4617-A68A-02E01DF07B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13</xdr:col>
      <xdr:colOff>390525</xdr:colOff>
      <xdr:row>597</xdr:row>
      <xdr:rowOff>114300</xdr:rowOff>
    </xdr:from>
    <xdr:to>
      <xdr:col>21</xdr:col>
      <xdr:colOff>123825</xdr:colOff>
      <xdr:row>615</xdr:row>
      <xdr:rowOff>38100</xdr:rowOff>
    </xdr:to>
    <xdr:graphicFrame macro="">
      <xdr:nvGraphicFramePr>
        <xdr:cNvPr id="6224" name="Chart 18">
          <a:extLst>
            <a:ext uri="{FF2B5EF4-FFF2-40B4-BE49-F238E27FC236}">
              <a16:creationId xmlns:a16="http://schemas.microsoft.com/office/drawing/2014/main" id="{3E62D522-70F6-456E-A0F7-C68BE6E9EF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16</xdr:col>
      <xdr:colOff>581025</xdr:colOff>
      <xdr:row>765</xdr:row>
      <xdr:rowOff>142875</xdr:rowOff>
    </xdr:from>
    <xdr:to>
      <xdr:col>24</xdr:col>
      <xdr:colOff>314325</xdr:colOff>
      <xdr:row>783</xdr:row>
      <xdr:rowOff>57150</xdr:rowOff>
    </xdr:to>
    <xdr:graphicFrame macro="">
      <xdr:nvGraphicFramePr>
        <xdr:cNvPr id="6225" name="Chart 19">
          <a:extLst>
            <a:ext uri="{FF2B5EF4-FFF2-40B4-BE49-F238E27FC236}">
              <a16:creationId xmlns:a16="http://schemas.microsoft.com/office/drawing/2014/main" id="{900E3BBE-46CF-4B24-9052-5854F608B7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10</xdr:col>
      <xdr:colOff>428625</xdr:colOff>
      <xdr:row>858</xdr:row>
      <xdr:rowOff>85725</xdr:rowOff>
    </xdr:from>
    <xdr:to>
      <xdr:col>18</xdr:col>
      <xdr:colOff>152400</xdr:colOff>
      <xdr:row>876</xdr:row>
      <xdr:rowOff>0</xdr:rowOff>
    </xdr:to>
    <xdr:graphicFrame macro="">
      <xdr:nvGraphicFramePr>
        <xdr:cNvPr id="6226" name="Chart 21">
          <a:extLst>
            <a:ext uri="{FF2B5EF4-FFF2-40B4-BE49-F238E27FC236}">
              <a16:creationId xmlns:a16="http://schemas.microsoft.com/office/drawing/2014/main" id="{FCBAD9D0-4CBB-43C2-899C-AE233055A34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14</xdr:col>
      <xdr:colOff>141198</xdr:colOff>
      <xdr:row>256</xdr:row>
      <xdr:rowOff>129991</xdr:rowOff>
    </xdr:from>
    <xdr:to>
      <xdr:col>16</xdr:col>
      <xdr:colOff>78445</xdr:colOff>
      <xdr:row>262</xdr:row>
      <xdr:rowOff>33616</xdr:rowOff>
    </xdr:to>
    <xdr:sp macro="" textlink="">
      <xdr:nvSpPr>
        <xdr:cNvPr id="91" name="TextBox 90">
          <a:extLst>
            <a:ext uri="{FF2B5EF4-FFF2-40B4-BE49-F238E27FC236}">
              <a16:creationId xmlns:a16="http://schemas.microsoft.com/office/drawing/2014/main" id="{DCA25287-28FC-4BC9-A7F4-CE274433225D}"/>
            </a:ext>
          </a:extLst>
        </xdr:cNvPr>
        <xdr:cNvSpPr txBox="1"/>
      </xdr:nvSpPr>
      <xdr:spPr>
        <a:xfrm>
          <a:off x="8769727" y="40471167"/>
          <a:ext cx="1147483" cy="844920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ctr"/>
          <a:r>
            <a:rPr lang="en-US" sz="1600" i="0">
              <a:latin typeface="Times New Roman" panose="02020603050405020304" pitchFamily="18" charset="0"/>
              <a:cs typeface="Times New Roman" panose="02020603050405020304" pitchFamily="18" charset="0"/>
            </a:rPr>
            <a:t>Normal</a:t>
          </a:r>
          <a:r>
            <a:rPr lang="en-US" sz="1600" i="0" baseline="0">
              <a:latin typeface="Times New Roman" panose="02020603050405020304" pitchFamily="18" charset="0"/>
              <a:cs typeface="Times New Roman" panose="02020603050405020304" pitchFamily="18" charset="0"/>
            </a:rPr>
            <a:t> cumulative distribution</a:t>
          </a:r>
          <a:endParaRPr lang="en-US" sz="1600" i="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14</xdr:col>
      <xdr:colOff>147920</xdr:colOff>
      <xdr:row>267</xdr:row>
      <xdr:rowOff>103100</xdr:rowOff>
    </xdr:from>
    <xdr:to>
      <xdr:col>16</xdr:col>
      <xdr:colOff>85167</xdr:colOff>
      <xdr:row>270</xdr:row>
      <xdr:rowOff>123266</xdr:rowOff>
    </xdr:to>
    <xdr:sp macro="" textlink="">
      <xdr:nvSpPr>
        <xdr:cNvPr id="92" name="TextBox 91">
          <a:extLst>
            <a:ext uri="{FF2B5EF4-FFF2-40B4-BE49-F238E27FC236}">
              <a16:creationId xmlns:a16="http://schemas.microsoft.com/office/drawing/2014/main" id="{C31D0BBF-8178-4991-AE54-5CAE4ECA6E6F}"/>
            </a:ext>
          </a:extLst>
        </xdr:cNvPr>
        <xdr:cNvSpPr txBox="1"/>
      </xdr:nvSpPr>
      <xdr:spPr>
        <a:xfrm>
          <a:off x="8776449" y="42169982"/>
          <a:ext cx="1147483" cy="490813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ctr"/>
          <a:r>
            <a:rPr lang="en-US" sz="1600" i="0">
              <a:latin typeface="Times New Roman" panose="02020603050405020304" pitchFamily="18" charset="0"/>
              <a:cs typeface="Times New Roman" panose="02020603050405020304" pitchFamily="18" charset="0"/>
            </a:rPr>
            <a:t>Normal</a:t>
          </a:r>
          <a:r>
            <a:rPr lang="en-US" sz="1600" i="0" baseline="0">
              <a:latin typeface="Times New Roman" panose="02020603050405020304" pitchFamily="18" charset="0"/>
              <a:cs typeface="Times New Roman" panose="02020603050405020304" pitchFamily="18" charset="0"/>
            </a:rPr>
            <a:t> distribution</a:t>
          </a:r>
          <a:endParaRPr lang="en-US" sz="1600" i="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40</xdr:col>
      <xdr:colOff>209550</xdr:colOff>
      <xdr:row>106</xdr:row>
      <xdr:rowOff>133350</xdr:rowOff>
    </xdr:from>
    <xdr:to>
      <xdr:col>42</xdr:col>
      <xdr:colOff>133350</xdr:colOff>
      <xdr:row>108</xdr:row>
      <xdr:rowOff>133350</xdr:rowOff>
    </xdr:to>
    <xdr:pic>
      <xdr:nvPicPr>
        <xdr:cNvPr id="6229" name="Picture 86">
          <a:extLst>
            <a:ext uri="{FF2B5EF4-FFF2-40B4-BE49-F238E27FC236}">
              <a16:creationId xmlns:a16="http://schemas.microsoft.com/office/drawing/2014/main" id="{D5206259-C72F-4CA4-B60A-B39D97D0BB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688550" y="17316450"/>
          <a:ext cx="7143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515723</xdr:colOff>
      <xdr:row>553</xdr:row>
      <xdr:rowOff>97974</xdr:rowOff>
    </xdr:from>
    <xdr:to>
      <xdr:col>12</xdr:col>
      <xdr:colOff>43554</xdr:colOff>
      <xdr:row>556</xdr:row>
      <xdr:rowOff>43546</xdr:rowOff>
    </xdr:to>
    <xdr:sp macro="" textlink="">
      <xdr:nvSpPr>
        <xdr:cNvPr id="87" name="TextBox 86">
          <a:extLst>
            <a:ext uri="{FF2B5EF4-FFF2-40B4-BE49-F238E27FC236}">
              <a16:creationId xmlns:a16="http://schemas.microsoft.com/office/drawing/2014/main" id="{488A963B-E1B3-4677-9D45-6DFA3F192DE6}"/>
            </a:ext>
          </a:extLst>
        </xdr:cNvPr>
        <xdr:cNvSpPr txBox="1"/>
      </xdr:nvSpPr>
      <xdr:spPr>
        <a:xfrm>
          <a:off x="6176294" y="91755688"/>
          <a:ext cx="1364796" cy="435429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lang="en-US" sz="2000" i="0">
              <a:latin typeface="Times New Roman" panose="02020603050405020304" pitchFamily="18" charset="0"/>
              <a:cs typeface="Times New Roman" panose="02020603050405020304" pitchFamily="18" charset="0"/>
            </a:rPr>
            <a:t>Frequency</a:t>
          </a:r>
        </a:p>
      </xdr:txBody>
    </xdr:sp>
    <xdr:clientData/>
  </xdr:twoCellAnchor>
  <xdr:twoCellAnchor>
    <xdr:from>
      <xdr:col>17</xdr:col>
      <xdr:colOff>513005</xdr:colOff>
      <xdr:row>573</xdr:row>
      <xdr:rowOff>140152</xdr:rowOff>
    </xdr:from>
    <xdr:to>
      <xdr:col>18</xdr:col>
      <xdr:colOff>506202</xdr:colOff>
      <xdr:row>575</xdr:row>
      <xdr:rowOff>152400</xdr:rowOff>
    </xdr:to>
    <xdr:sp macro="" textlink="">
      <xdr:nvSpPr>
        <xdr:cNvPr id="93" name="TextBox 92">
          <a:extLst>
            <a:ext uri="{FF2B5EF4-FFF2-40B4-BE49-F238E27FC236}">
              <a16:creationId xmlns:a16="http://schemas.microsoft.com/office/drawing/2014/main" id="{75135852-A3A8-4D9E-92E6-0F9EA0F9A578}"/>
            </a:ext>
          </a:extLst>
        </xdr:cNvPr>
        <xdr:cNvSpPr txBox="1"/>
      </xdr:nvSpPr>
      <xdr:spPr>
        <a:xfrm>
          <a:off x="11072148" y="95063581"/>
          <a:ext cx="605518" cy="338819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lang="en-US" sz="2000" i="0">
              <a:latin typeface="Times New Roman" panose="02020603050405020304" pitchFamily="18" charset="0"/>
              <a:cs typeface="Times New Roman" panose="02020603050405020304" pitchFamily="18" charset="0"/>
            </a:rPr>
            <a:t>Sqrt</a:t>
          </a:r>
        </a:p>
      </xdr:txBody>
    </xdr:sp>
    <xdr:clientData/>
  </xdr:twoCellAnchor>
  <xdr:twoCellAnchor>
    <xdr:from>
      <xdr:col>11</xdr:col>
      <xdr:colOff>432718</xdr:colOff>
      <xdr:row>575</xdr:row>
      <xdr:rowOff>87087</xdr:rowOff>
    </xdr:from>
    <xdr:to>
      <xdr:col>12</xdr:col>
      <xdr:colOff>492589</xdr:colOff>
      <xdr:row>577</xdr:row>
      <xdr:rowOff>111580</xdr:rowOff>
    </xdr:to>
    <xdr:sp macro="" textlink="">
      <xdr:nvSpPr>
        <xdr:cNvPr id="94" name="TextBox 93">
          <a:extLst>
            <a:ext uri="{FF2B5EF4-FFF2-40B4-BE49-F238E27FC236}">
              <a16:creationId xmlns:a16="http://schemas.microsoft.com/office/drawing/2014/main" id="{01441B42-7E61-4392-A331-0E8096EF3AF5}"/>
            </a:ext>
          </a:extLst>
        </xdr:cNvPr>
        <xdr:cNvSpPr txBox="1"/>
      </xdr:nvSpPr>
      <xdr:spPr>
        <a:xfrm>
          <a:off x="7317932" y="95337087"/>
          <a:ext cx="672193" cy="351064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lang="en-US" sz="2000" i="0">
              <a:latin typeface="Times New Roman" panose="02020603050405020304" pitchFamily="18" charset="0"/>
              <a:cs typeface="Times New Roman" panose="02020603050405020304" pitchFamily="18" charset="0"/>
            </a:rPr>
            <a:t>Log10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23</xdr:col>
      <xdr:colOff>619125</xdr:colOff>
      <xdr:row>57</xdr:row>
      <xdr:rowOff>76200</xdr:rowOff>
    </xdr:from>
    <xdr:to>
      <xdr:col>23</xdr:col>
      <xdr:colOff>666750</xdr:colOff>
      <xdr:row>58</xdr:row>
      <xdr:rowOff>133350</xdr:rowOff>
    </xdr:to>
    <xdr:pic>
      <xdr:nvPicPr>
        <xdr:cNvPr id="26625" name="Picture 1" descr="http://turner.faculty.swau.edu/mathematics/math241/materials/anova/shim.gif">
          <a:extLst>
            <a:ext uri="{FF2B5EF4-FFF2-40B4-BE49-F238E27FC236}">
              <a16:creationId xmlns:a16="http://schemas.microsoft.com/office/drawing/2014/main" id="{8128ECB5-E195-4912-99FB-11B4B1379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20625" y="9820275"/>
          <a:ext cx="476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23</xdr:col>
      <xdr:colOff>0</xdr:colOff>
      <xdr:row>46</xdr:row>
      <xdr:rowOff>0</xdr:rowOff>
    </xdr:from>
    <xdr:to>
      <xdr:col>23</xdr:col>
      <xdr:colOff>142875</xdr:colOff>
      <xdr:row>50</xdr:row>
      <xdr:rowOff>171450</xdr:rowOff>
    </xdr:to>
    <xdr:pic>
      <xdr:nvPicPr>
        <xdr:cNvPr id="26626" name="Picture 2" descr="http://turner.faculty.swau.edu/mathematics/math241/materials/anova/shim.gif">
          <a:extLst>
            <a:ext uri="{FF2B5EF4-FFF2-40B4-BE49-F238E27FC236}">
              <a16:creationId xmlns:a16="http://schemas.microsoft.com/office/drawing/2014/main" id="{3E446A8B-48E1-4731-A646-CD0BB1008C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01500" y="7753350"/>
          <a:ext cx="142875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24</xdr:col>
      <xdr:colOff>0</xdr:colOff>
      <xdr:row>46</xdr:row>
      <xdr:rowOff>0</xdr:rowOff>
    </xdr:from>
    <xdr:to>
      <xdr:col>24</xdr:col>
      <xdr:colOff>142875</xdr:colOff>
      <xdr:row>50</xdr:row>
      <xdr:rowOff>171450</xdr:rowOff>
    </xdr:to>
    <xdr:pic>
      <xdr:nvPicPr>
        <xdr:cNvPr id="26627" name="Picture 3" descr="http://turner.faculty.swau.edu/mathematics/math241/materials/anova/shim.gif">
          <a:extLst>
            <a:ext uri="{FF2B5EF4-FFF2-40B4-BE49-F238E27FC236}">
              <a16:creationId xmlns:a16="http://schemas.microsoft.com/office/drawing/2014/main" id="{A5A98702-EB65-4F3E-9757-55561EE127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15875" y="7753350"/>
          <a:ext cx="142875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23</xdr:col>
      <xdr:colOff>0</xdr:colOff>
      <xdr:row>51</xdr:row>
      <xdr:rowOff>19050</xdr:rowOff>
    </xdr:from>
    <xdr:to>
      <xdr:col>23</xdr:col>
      <xdr:colOff>142875</xdr:colOff>
      <xdr:row>56</xdr:row>
      <xdr:rowOff>9525</xdr:rowOff>
    </xdr:to>
    <xdr:pic>
      <xdr:nvPicPr>
        <xdr:cNvPr id="26628" name="Picture 4" descr="http://turner.faculty.swau.edu/mathematics/math241/materials/anova/shim.gif">
          <a:extLst>
            <a:ext uri="{FF2B5EF4-FFF2-40B4-BE49-F238E27FC236}">
              <a16:creationId xmlns:a16="http://schemas.microsoft.com/office/drawing/2014/main" id="{960B8D13-6C48-4CEF-85EB-60B94D4EA5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01500" y="8677275"/>
          <a:ext cx="142875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24</xdr:col>
      <xdr:colOff>0</xdr:colOff>
      <xdr:row>51</xdr:row>
      <xdr:rowOff>19050</xdr:rowOff>
    </xdr:from>
    <xdr:to>
      <xdr:col>24</xdr:col>
      <xdr:colOff>142875</xdr:colOff>
      <xdr:row>56</xdr:row>
      <xdr:rowOff>9525</xdr:rowOff>
    </xdr:to>
    <xdr:pic>
      <xdr:nvPicPr>
        <xdr:cNvPr id="26629" name="Picture 5" descr="http://turner.faculty.swau.edu/mathematics/math241/materials/anova/shim.gif">
          <a:extLst>
            <a:ext uri="{FF2B5EF4-FFF2-40B4-BE49-F238E27FC236}">
              <a16:creationId xmlns:a16="http://schemas.microsoft.com/office/drawing/2014/main" id="{115FCF88-341C-40AE-A036-D815BFEEEB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15875" y="8677275"/>
          <a:ext cx="142875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23</xdr:col>
      <xdr:colOff>0</xdr:colOff>
      <xdr:row>56</xdr:row>
      <xdr:rowOff>38100</xdr:rowOff>
    </xdr:from>
    <xdr:to>
      <xdr:col>23</xdr:col>
      <xdr:colOff>142875</xdr:colOff>
      <xdr:row>59</xdr:row>
      <xdr:rowOff>104775</xdr:rowOff>
    </xdr:to>
    <xdr:pic>
      <xdr:nvPicPr>
        <xdr:cNvPr id="26630" name="Picture 6" descr="http://turner.faculty.swau.edu/mathematics/math241/materials/anova/shim.gif">
          <a:extLst>
            <a:ext uri="{FF2B5EF4-FFF2-40B4-BE49-F238E27FC236}">
              <a16:creationId xmlns:a16="http://schemas.microsoft.com/office/drawing/2014/main" id="{CFEDE769-5997-49A6-8E2C-4CD4868A60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01500" y="9601200"/>
          <a:ext cx="14287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24</xdr:col>
      <xdr:colOff>0</xdr:colOff>
      <xdr:row>56</xdr:row>
      <xdr:rowOff>38100</xdr:rowOff>
    </xdr:from>
    <xdr:to>
      <xdr:col>24</xdr:col>
      <xdr:colOff>142875</xdr:colOff>
      <xdr:row>59</xdr:row>
      <xdr:rowOff>104775</xdr:rowOff>
    </xdr:to>
    <xdr:pic>
      <xdr:nvPicPr>
        <xdr:cNvPr id="26631" name="Picture 7" descr="http://turner.faculty.swau.edu/mathematics/math241/materials/anova/shim.gif">
          <a:extLst>
            <a:ext uri="{FF2B5EF4-FFF2-40B4-BE49-F238E27FC236}">
              <a16:creationId xmlns:a16="http://schemas.microsoft.com/office/drawing/2014/main" id="{99505974-652D-4AA8-A7A2-A7A0B08AE3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15875" y="9601200"/>
          <a:ext cx="14287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0</xdr:colOff>
      <xdr:row>46</xdr:row>
      <xdr:rowOff>0</xdr:rowOff>
    </xdr:from>
    <xdr:to>
      <xdr:col>27</xdr:col>
      <xdr:colOff>142875</xdr:colOff>
      <xdr:row>49</xdr:row>
      <xdr:rowOff>142875</xdr:rowOff>
    </xdr:to>
    <xdr:pic>
      <xdr:nvPicPr>
        <xdr:cNvPr id="26632" name="Picture 8" descr="http://turner.faculty.swau.edu/mathematics/math241/materials/anova/shim.gif">
          <a:extLst>
            <a:ext uri="{FF2B5EF4-FFF2-40B4-BE49-F238E27FC236}">
              <a16:creationId xmlns:a16="http://schemas.microsoft.com/office/drawing/2014/main" id="{2EB29C33-E452-484C-9D8B-E448ABCA28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44675" y="7753350"/>
          <a:ext cx="142875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28</xdr:col>
      <xdr:colOff>0</xdr:colOff>
      <xdr:row>46</xdr:row>
      <xdr:rowOff>0</xdr:rowOff>
    </xdr:from>
    <xdr:to>
      <xdr:col>28</xdr:col>
      <xdr:colOff>142875</xdr:colOff>
      <xdr:row>49</xdr:row>
      <xdr:rowOff>142875</xdr:rowOff>
    </xdr:to>
    <xdr:pic>
      <xdr:nvPicPr>
        <xdr:cNvPr id="26633" name="Picture 9" descr="http://turner.faculty.swau.edu/mathematics/math241/materials/anova/shim.gif">
          <a:extLst>
            <a:ext uri="{FF2B5EF4-FFF2-40B4-BE49-F238E27FC236}">
              <a16:creationId xmlns:a16="http://schemas.microsoft.com/office/drawing/2014/main" id="{C74ABECB-11AC-49BF-98AE-11E075E619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54275" y="7753350"/>
          <a:ext cx="142875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0</xdr:colOff>
      <xdr:row>49</xdr:row>
      <xdr:rowOff>171450</xdr:rowOff>
    </xdr:from>
    <xdr:to>
      <xdr:col>27</xdr:col>
      <xdr:colOff>142875</xdr:colOff>
      <xdr:row>53</xdr:row>
      <xdr:rowOff>133350</xdr:rowOff>
    </xdr:to>
    <xdr:pic>
      <xdr:nvPicPr>
        <xdr:cNvPr id="26634" name="Picture 10" descr="http://turner.faculty.swau.edu/mathematics/math241/materials/anova/shim.gif">
          <a:extLst>
            <a:ext uri="{FF2B5EF4-FFF2-40B4-BE49-F238E27FC236}">
              <a16:creationId xmlns:a16="http://schemas.microsoft.com/office/drawing/2014/main" id="{CA76ED2E-B73C-4FD7-A753-D8E22AF889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44675" y="8467725"/>
          <a:ext cx="142875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28</xdr:col>
      <xdr:colOff>0</xdr:colOff>
      <xdr:row>49</xdr:row>
      <xdr:rowOff>171450</xdr:rowOff>
    </xdr:from>
    <xdr:to>
      <xdr:col>28</xdr:col>
      <xdr:colOff>142875</xdr:colOff>
      <xdr:row>53</xdr:row>
      <xdr:rowOff>133350</xdr:rowOff>
    </xdr:to>
    <xdr:pic>
      <xdr:nvPicPr>
        <xdr:cNvPr id="26635" name="Picture 11" descr="http://turner.faculty.swau.edu/mathematics/math241/materials/anova/shim.gif">
          <a:extLst>
            <a:ext uri="{FF2B5EF4-FFF2-40B4-BE49-F238E27FC236}">
              <a16:creationId xmlns:a16="http://schemas.microsoft.com/office/drawing/2014/main" id="{7C2AEAC0-FCE2-4720-9A32-EA0AA7D7CD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54275" y="8467725"/>
          <a:ext cx="142875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0</xdr:colOff>
      <xdr:row>53</xdr:row>
      <xdr:rowOff>161925</xdr:rowOff>
    </xdr:from>
    <xdr:to>
      <xdr:col>27</xdr:col>
      <xdr:colOff>142875</xdr:colOff>
      <xdr:row>54</xdr:row>
      <xdr:rowOff>114300</xdr:rowOff>
    </xdr:to>
    <xdr:pic>
      <xdr:nvPicPr>
        <xdr:cNvPr id="26636" name="Picture 12" descr="http://turner.faculty.swau.edu/mathematics/math241/materials/anova/shim.gif">
          <a:extLst>
            <a:ext uri="{FF2B5EF4-FFF2-40B4-BE49-F238E27FC236}">
              <a16:creationId xmlns:a16="http://schemas.microsoft.com/office/drawing/2014/main" id="{3CD59A0D-3A3D-424B-A48A-0E13C6D241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44675" y="9182100"/>
          <a:ext cx="1428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28</xdr:col>
      <xdr:colOff>0</xdr:colOff>
      <xdr:row>53</xdr:row>
      <xdr:rowOff>161925</xdr:rowOff>
    </xdr:from>
    <xdr:to>
      <xdr:col>28</xdr:col>
      <xdr:colOff>142875</xdr:colOff>
      <xdr:row>54</xdr:row>
      <xdr:rowOff>114300</xdr:rowOff>
    </xdr:to>
    <xdr:pic>
      <xdr:nvPicPr>
        <xdr:cNvPr id="26637" name="Picture 13" descr="http://turner.faculty.swau.edu/mathematics/math241/materials/anova/shim.gif">
          <a:extLst>
            <a:ext uri="{FF2B5EF4-FFF2-40B4-BE49-F238E27FC236}">
              <a16:creationId xmlns:a16="http://schemas.microsoft.com/office/drawing/2014/main" id="{F4A9A741-D0AF-4319-8020-EFDEBFDB12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54275" y="9182100"/>
          <a:ext cx="1428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31</xdr:col>
      <xdr:colOff>0</xdr:colOff>
      <xdr:row>46</xdr:row>
      <xdr:rowOff>0</xdr:rowOff>
    </xdr:from>
    <xdr:to>
      <xdr:col>31</xdr:col>
      <xdr:colOff>142875</xdr:colOff>
      <xdr:row>50</xdr:row>
      <xdr:rowOff>142875</xdr:rowOff>
    </xdr:to>
    <xdr:pic>
      <xdr:nvPicPr>
        <xdr:cNvPr id="26638" name="Picture 14" descr="http://turner.faculty.swau.edu/mathematics/math241/materials/anova/shim.gif">
          <a:extLst>
            <a:ext uri="{FF2B5EF4-FFF2-40B4-BE49-F238E27FC236}">
              <a16:creationId xmlns:a16="http://schemas.microsoft.com/office/drawing/2014/main" id="{97D8B669-363E-456F-BED3-793A644DA1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3075" y="7753350"/>
          <a:ext cx="142875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32</xdr:col>
      <xdr:colOff>0</xdr:colOff>
      <xdr:row>46</xdr:row>
      <xdr:rowOff>0</xdr:rowOff>
    </xdr:from>
    <xdr:to>
      <xdr:col>32</xdr:col>
      <xdr:colOff>142875</xdr:colOff>
      <xdr:row>50</xdr:row>
      <xdr:rowOff>142875</xdr:rowOff>
    </xdr:to>
    <xdr:pic>
      <xdr:nvPicPr>
        <xdr:cNvPr id="26639" name="Picture 15" descr="http://turner.faculty.swau.edu/mathematics/math241/materials/anova/shim.gif">
          <a:extLst>
            <a:ext uri="{FF2B5EF4-FFF2-40B4-BE49-F238E27FC236}">
              <a16:creationId xmlns:a16="http://schemas.microsoft.com/office/drawing/2014/main" id="{813D431B-B5BA-4069-8062-B9D1AD6130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92675" y="7753350"/>
          <a:ext cx="142875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31</xdr:col>
      <xdr:colOff>0</xdr:colOff>
      <xdr:row>50</xdr:row>
      <xdr:rowOff>171450</xdr:rowOff>
    </xdr:from>
    <xdr:to>
      <xdr:col>31</xdr:col>
      <xdr:colOff>142875</xdr:colOff>
      <xdr:row>55</xdr:row>
      <xdr:rowOff>133350</xdr:rowOff>
    </xdr:to>
    <xdr:pic>
      <xdr:nvPicPr>
        <xdr:cNvPr id="26640" name="Picture 16" descr="http://turner.faculty.swau.edu/mathematics/math241/materials/anova/shim.gif">
          <a:extLst>
            <a:ext uri="{FF2B5EF4-FFF2-40B4-BE49-F238E27FC236}">
              <a16:creationId xmlns:a16="http://schemas.microsoft.com/office/drawing/2014/main" id="{72FED032-0508-4A37-8DB4-050B223C49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3075" y="8648700"/>
          <a:ext cx="142875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32</xdr:col>
      <xdr:colOff>0</xdr:colOff>
      <xdr:row>50</xdr:row>
      <xdr:rowOff>171450</xdr:rowOff>
    </xdr:from>
    <xdr:to>
      <xdr:col>32</xdr:col>
      <xdr:colOff>142875</xdr:colOff>
      <xdr:row>55</xdr:row>
      <xdr:rowOff>133350</xdr:rowOff>
    </xdr:to>
    <xdr:pic>
      <xdr:nvPicPr>
        <xdr:cNvPr id="26641" name="Picture 17" descr="http://turner.faculty.swau.edu/mathematics/math241/materials/anova/shim.gif">
          <a:extLst>
            <a:ext uri="{FF2B5EF4-FFF2-40B4-BE49-F238E27FC236}">
              <a16:creationId xmlns:a16="http://schemas.microsoft.com/office/drawing/2014/main" id="{EBD91A6E-B3C2-4EB8-803B-4409C9DE08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92675" y="8648700"/>
          <a:ext cx="142875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31</xdr:col>
      <xdr:colOff>0</xdr:colOff>
      <xdr:row>55</xdr:row>
      <xdr:rowOff>161925</xdr:rowOff>
    </xdr:from>
    <xdr:to>
      <xdr:col>31</xdr:col>
      <xdr:colOff>142875</xdr:colOff>
      <xdr:row>61</xdr:row>
      <xdr:rowOff>19050</xdr:rowOff>
    </xdr:to>
    <xdr:pic>
      <xdr:nvPicPr>
        <xdr:cNvPr id="26642" name="Picture 18" descr="http://turner.faculty.swau.edu/mathematics/math241/materials/anova/shim.gif">
          <a:extLst>
            <a:ext uri="{FF2B5EF4-FFF2-40B4-BE49-F238E27FC236}">
              <a16:creationId xmlns:a16="http://schemas.microsoft.com/office/drawing/2014/main" id="{F65894CE-2B55-4A5E-B4DD-9100A1A423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3075" y="9544050"/>
          <a:ext cx="142875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32</xdr:col>
      <xdr:colOff>0</xdr:colOff>
      <xdr:row>55</xdr:row>
      <xdr:rowOff>161925</xdr:rowOff>
    </xdr:from>
    <xdr:to>
      <xdr:col>32</xdr:col>
      <xdr:colOff>142875</xdr:colOff>
      <xdr:row>61</xdr:row>
      <xdr:rowOff>19050</xdr:rowOff>
    </xdr:to>
    <xdr:pic>
      <xdr:nvPicPr>
        <xdr:cNvPr id="26643" name="Picture 19" descr="http://turner.faculty.swau.edu/mathematics/math241/materials/anova/shim.gif">
          <a:extLst>
            <a:ext uri="{FF2B5EF4-FFF2-40B4-BE49-F238E27FC236}">
              <a16:creationId xmlns:a16="http://schemas.microsoft.com/office/drawing/2014/main" id="{28E44AE7-5A57-47B0-896A-D5FCF7814F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92675" y="9544050"/>
          <a:ext cx="142875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20</xdr:col>
      <xdr:colOff>0</xdr:colOff>
      <xdr:row>47</xdr:row>
      <xdr:rowOff>0</xdr:rowOff>
    </xdr:from>
    <xdr:to>
      <xdr:col>20</xdr:col>
      <xdr:colOff>47625</xdr:colOff>
      <xdr:row>48</xdr:row>
      <xdr:rowOff>38100</xdr:rowOff>
    </xdr:to>
    <xdr:pic>
      <xdr:nvPicPr>
        <xdr:cNvPr id="26644" name="Picture 20" descr="http://turner.faculty.swau.edu/mathematics/math241/materials/anova/shim.gif">
          <a:extLst>
            <a:ext uri="{FF2B5EF4-FFF2-40B4-BE49-F238E27FC236}">
              <a16:creationId xmlns:a16="http://schemas.microsoft.com/office/drawing/2014/main" id="{A1F44E89-130B-41AE-9C1E-10D2CE1D4F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2200" y="7934325"/>
          <a:ext cx="476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20</xdr:col>
      <xdr:colOff>0</xdr:colOff>
      <xdr:row>48</xdr:row>
      <xdr:rowOff>66675</xdr:rowOff>
    </xdr:from>
    <xdr:to>
      <xdr:col>20</xdr:col>
      <xdr:colOff>47625</xdr:colOff>
      <xdr:row>49</xdr:row>
      <xdr:rowOff>104775</xdr:rowOff>
    </xdr:to>
    <xdr:pic>
      <xdr:nvPicPr>
        <xdr:cNvPr id="26645" name="Picture 21" descr="http://turner.faculty.swau.edu/mathematics/math241/materials/anova/shim.gif">
          <a:extLst>
            <a:ext uri="{FF2B5EF4-FFF2-40B4-BE49-F238E27FC236}">
              <a16:creationId xmlns:a16="http://schemas.microsoft.com/office/drawing/2014/main" id="{D7D34F9C-50E1-488E-97AF-8BA80B5229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2200" y="8181975"/>
          <a:ext cx="476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20</xdr:col>
      <xdr:colOff>0</xdr:colOff>
      <xdr:row>49</xdr:row>
      <xdr:rowOff>133350</xdr:rowOff>
    </xdr:from>
    <xdr:to>
      <xdr:col>20</xdr:col>
      <xdr:colOff>47625</xdr:colOff>
      <xdr:row>50</xdr:row>
      <xdr:rowOff>171450</xdr:rowOff>
    </xdr:to>
    <xdr:pic>
      <xdr:nvPicPr>
        <xdr:cNvPr id="26646" name="Picture 22" descr="http://turner.faculty.swau.edu/mathematics/math241/materials/anova/shim.gif">
          <a:extLst>
            <a:ext uri="{FF2B5EF4-FFF2-40B4-BE49-F238E27FC236}">
              <a16:creationId xmlns:a16="http://schemas.microsoft.com/office/drawing/2014/main" id="{E759A6EF-15A0-4190-9963-8B250AFEB9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2200" y="8429625"/>
          <a:ext cx="476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20</xdr:col>
      <xdr:colOff>0</xdr:colOff>
      <xdr:row>51</xdr:row>
      <xdr:rowOff>19050</xdr:rowOff>
    </xdr:from>
    <xdr:to>
      <xdr:col>20</xdr:col>
      <xdr:colOff>47625</xdr:colOff>
      <xdr:row>52</xdr:row>
      <xdr:rowOff>57150</xdr:rowOff>
    </xdr:to>
    <xdr:pic>
      <xdr:nvPicPr>
        <xdr:cNvPr id="26647" name="Picture 23" descr="http://turner.faculty.swau.edu/mathematics/math241/materials/anova/shim.gif">
          <a:extLst>
            <a:ext uri="{FF2B5EF4-FFF2-40B4-BE49-F238E27FC236}">
              <a16:creationId xmlns:a16="http://schemas.microsoft.com/office/drawing/2014/main" id="{ADF9E0F8-F1CC-4C9A-B040-4A90CCFE8D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2200" y="8677275"/>
          <a:ext cx="476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20</xdr:col>
      <xdr:colOff>0</xdr:colOff>
      <xdr:row>52</xdr:row>
      <xdr:rowOff>85725</xdr:rowOff>
    </xdr:from>
    <xdr:to>
      <xdr:col>20</xdr:col>
      <xdr:colOff>47625</xdr:colOff>
      <xdr:row>53</xdr:row>
      <xdr:rowOff>123825</xdr:rowOff>
    </xdr:to>
    <xdr:pic>
      <xdr:nvPicPr>
        <xdr:cNvPr id="26648" name="Picture 24" descr="http://turner.faculty.swau.edu/mathematics/math241/materials/anova/shim.gif">
          <a:extLst>
            <a:ext uri="{FF2B5EF4-FFF2-40B4-BE49-F238E27FC236}">
              <a16:creationId xmlns:a16="http://schemas.microsoft.com/office/drawing/2014/main" id="{20394F7C-56B7-4A8D-9421-2A14327B16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2200" y="8924925"/>
          <a:ext cx="476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20</xdr:col>
      <xdr:colOff>0</xdr:colOff>
      <xdr:row>53</xdr:row>
      <xdr:rowOff>152400</xdr:rowOff>
    </xdr:from>
    <xdr:to>
      <xdr:col>20</xdr:col>
      <xdr:colOff>47625</xdr:colOff>
      <xdr:row>55</xdr:row>
      <xdr:rowOff>9525</xdr:rowOff>
    </xdr:to>
    <xdr:pic>
      <xdr:nvPicPr>
        <xdr:cNvPr id="26649" name="Picture 25" descr="http://turner.faculty.swau.edu/mathematics/math241/materials/anova/shim.gif">
          <a:extLst>
            <a:ext uri="{FF2B5EF4-FFF2-40B4-BE49-F238E27FC236}">
              <a16:creationId xmlns:a16="http://schemas.microsoft.com/office/drawing/2014/main" id="{562E8551-AC8C-41F6-B343-6AA9802243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2200" y="9172575"/>
          <a:ext cx="476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20</xdr:col>
      <xdr:colOff>0</xdr:colOff>
      <xdr:row>55</xdr:row>
      <xdr:rowOff>38100</xdr:rowOff>
    </xdr:from>
    <xdr:to>
      <xdr:col>20</xdr:col>
      <xdr:colOff>47625</xdr:colOff>
      <xdr:row>56</xdr:row>
      <xdr:rowOff>76200</xdr:rowOff>
    </xdr:to>
    <xdr:pic>
      <xdr:nvPicPr>
        <xdr:cNvPr id="26650" name="Picture 26" descr="http://turner.faculty.swau.edu/mathematics/math241/materials/anova/shim.gif">
          <a:extLst>
            <a:ext uri="{FF2B5EF4-FFF2-40B4-BE49-F238E27FC236}">
              <a16:creationId xmlns:a16="http://schemas.microsoft.com/office/drawing/2014/main" id="{7A2450D2-25F1-425E-949B-51EF683CA8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2200" y="9420225"/>
          <a:ext cx="476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20</xdr:col>
      <xdr:colOff>0</xdr:colOff>
      <xdr:row>56</xdr:row>
      <xdr:rowOff>104775</xdr:rowOff>
    </xdr:from>
    <xdr:to>
      <xdr:col>20</xdr:col>
      <xdr:colOff>47625</xdr:colOff>
      <xdr:row>57</xdr:row>
      <xdr:rowOff>142875</xdr:rowOff>
    </xdr:to>
    <xdr:pic>
      <xdr:nvPicPr>
        <xdr:cNvPr id="26651" name="Picture 27" descr="http://turner.faculty.swau.edu/mathematics/math241/materials/anova/shim.gif">
          <a:extLst>
            <a:ext uri="{FF2B5EF4-FFF2-40B4-BE49-F238E27FC236}">
              <a16:creationId xmlns:a16="http://schemas.microsoft.com/office/drawing/2014/main" id="{FF43CA2B-1BB9-4C4D-8A0D-98455352C3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2200" y="9667875"/>
          <a:ext cx="476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20</xdr:col>
      <xdr:colOff>0</xdr:colOff>
      <xdr:row>57</xdr:row>
      <xdr:rowOff>171450</xdr:rowOff>
    </xdr:from>
    <xdr:to>
      <xdr:col>20</xdr:col>
      <xdr:colOff>47625</xdr:colOff>
      <xdr:row>59</xdr:row>
      <xdr:rowOff>28575</xdr:rowOff>
    </xdr:to>
    <xdr:pic>
      <xdr:nvPicPr>
        <xdr:cNvPr id="26652" name="Picture 28" descr="http://turner.faculty.swau.edu/mathematics/math241/materials/anova/shim.gif">
          <a:extLst>
            <a:ext uri="{FF2B5EF4-FFF2-40B4-BE49-F238E27FC236}">
              <a16:creationId xmlns:a16="http://schemas.microsoft.com/office/drawing/2014/main" id="{D4573613-8621-47C1-AE38-9EE9D4BE00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2200" y="9915525"/>
          <a:ext cx="476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20</xdr:col>
      <xdr:colOff>0</xdr:colOff>
      <xdr:row>59</xdr:row>
      <xdr:rowOff>57150</xdr:rowOff>
    </xdr:from>
    <xdr:to>
      <xdr:col>20</xdr:col>
      <xdr:colOff>47625</xdr:colOff>
      <xdr:row>60</xdr:row>
      <xdr:rowOff>95250</xdr:rowOff>
    </xdr:to>
    <xdr:pic>
      <xdr:nvPicPr>
        <xdr:cNvPr id="26653" name="Picture 29" descr="http://turner.faculty.swau.edu/mathematics/math241/materials/anova/shim.gif">
          <a:extLst>
            <a:ext uri="{FF2B5EF4-FFF2-40B4-BE49-F238E27FC236}">
              <a16:creationId xmlns:a16="http://schemas.microsoft.com/office/drawing/2014/main" id="{267C7FAD-343C-4C3D-92A8-A095C20B5B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2200" y="10163175"/>
          <a:ext cx="476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20</xdr:col>
      <xdr:colOff>0</xdr:colOff>
      <xdr:row>60</xdr:row>
      <xdr:rowOff>123825</xdr:rowOff>
    </xdr:from>
    <xdr:to>
      <xdr:col>20</xdr:col>
      <xdr:colOff>47625</xdr:colOff>
      <xdr:row>62</xdr:row>
      <xdr:rowOff>19050</xdr:rowOff>
    </xdr:to>
    <xdr:pic>
      <xdr:nvPicPr>
        <xdr:cNvPr id="26654" name="Picture 30" descr="http://turner.faculty.swau.edu/mathematics/math241/materials/anova/shim.gif">
          <a:extLst>
            <a:ext uri="{FF2B5EF4-FFF2-40B4-BE49-F238E27FC236}">
              <a16:creationId xmlns:a16="http://schemas.microsoft.com/office/drawing/2014/main" id="{0156BA99-53ED-4B3D-99E0-297DEDDBB1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2200" y="10410825"/>
          <a:ext cx="476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20</xdr:col>
      <xdr:colOff>0</xdr:colOff>
      <xdr:row>62</xdr:row>
      <xdr:rowOff>47625</xdr:rowOff>
    </xdr:from>
    <xdr:to>
      <xdr:col>20</xdr:col>
      <xdr:colOff>47625</xdr:colOff>
      <xdr:row>63</xdr:row>
      <xdr:rowOff>104775</xdr:rowOff>
    </xdr:to>
    <xdr:pic>
      <xdr:nvPicPr>
        <xdr:cNvPr id="26655" name="Picture 31" descr="http://turner.faculty.swau.edu/mathematics/math241/materials/anova/shim.gif">
          <a:extLst>
            <a:ext uri="{FF2B5EF4-FFF2-40B4-BE49-F238E27FC236}">
              <a16:creationId xmlns:a16="http://schemas.microsoft.com/office/drawing/2014/main" id="{06487F07-4DB0-4B0F-96DD-FF9D955822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2200" y="10658475"/>
          <a:ext cx="476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19</xdr:col>
      <xdr:colOff>0</xdr:colOff>
      <xdr:row>46</xdr:row>
      <xdr:rowOff>0</xdr:rowOff>
    </xdr:from>
    <xdr:to>
      <xdr:col>23</xdr:col>
      <xdr:colOff>419100</xdr:colOff>
      <xdr:row>65</xdr:row>
      <xdr:rowOff>114300</xdr:rowOff>
    </xdr:to>
    <xdr:pic>
      <xdr:nvPicPr>
        <xdr:cNvPr id="26656" name="Picture 32">
          <a:extLst>
            <a:ext uri="{FF2B5EF4-FFF2-40B4-BE49-F238E27FC236}">
              <a16:creationId xmlns:a16="http://schemas.microsoft.com/office/drawing/2014/main" id="{0E08F27B-ABAE-4522-A496-1492BD7637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72600" y="7753350"/>
          <a:ext cx="3048000" cy="3457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523875</xdr:colOff>
      <xdr:row>38</xdr:row>
      <xdr:rowOff>114300</xdr:rowOff>
    </xdr:from>
    <xdr:to>
      <xdr:col>19</xdr:col>
      <xdr:colOff>219075</xdr:colOff>
      <xdr:row>55</xdr:row>
      <xdr:rowOff>104775</xdr:rowOff>
    </xdr:to>
    <xdr:graphicFrame macro="">
      <xdr:nvGraphicFramePr>
        <xdr:cNvPr id="27649" name="Chart 1">
          <a:extLst>
            <a:ext uri="{FF2B5EF4-FFF2-40B4-BE49-F238E27FC236}">
              <a16:creationId xmlns:a16="http://schemas.microsoft.com/office/drawing/2014/main" id="{821E27C4-86A2-4E97-8ACC-8FDDA19AD4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409575</xdr:colOff>
      <xdr:row>2</xdr:row>
      <xdr:rowOff>152400</xdr:rowOff>
    </xdr:from>
    <xdr:to>
      <xdr:col>20</xdr:col>
      <xdr:colOff>104775</xdr:colOff>
      <xdr:row>15</xdr:row>
      <xdr:rowOff>142875</xdr:rowOff>
    </xdr:to>
    <xdr:graphicFrame macro="">
      <xdr:nvGraphicFramePr>
        <xdr:cNvPr id="27650" name="Chart 2">
          <a:extLst>
            <a:ext uri="{FF2B5EF4-FFF2-40B4-BE49-F238E27FC236}">
              <a16:creationId xmlns:a16="http://schemas.microsoft.com/office/drawing/2014/main" id="{90FBD5B0-CCE1-4995-BAD8-E742C9D29F2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457200</xdr:colOff>
      <xdr:row>22</xdr:row>
      <xdr:rowOff>28575</xdr:rowOff>
    </xdr:from>
    <xdr:to>
      <xdr:col>11</xdr:col>
      <xdr:colOff>114300</xdr:colOff>
      <xdr:row>39</xdr:row>
      <xdr:rowOff>28575</xdr:rowOff>
    </xdr:to>
    <xdr:graphicFrame macro="">
      <xdr:nvGraphicFramePr>
        <xdr:cNvPr id="27651" name="Chart 3">
          <a:extLst>
            <a:ext uri="{FF2B5EF4-FFF2-40B4-BE49-F238E27FC236}">
              <a16:creationId xmlns:a16="http://schemas.microsoft.com/office/drawing/2014/main" id="{8E44AF5A-3D5B-460D-AFB8-E8A76E3A0B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514350</xdr:colOff>
      <xdr:row>20</xdr:row>
      <xdr:rowOff>9525</xdr:rowOff>
    </xdr:from>
    <xdr:to>
      <xdr:col>20</xdr:col>
      <xdr:colOff>209550</xdr:colOff>
      <xdr:row>37</xdr:row>
      <xdr:rowOff>0</xdr:rowOff>
    </xdr:to>
    <xdr:graphicFrame macro="">
      <xdr:nvGraphicFramePr>
        <xdr:cNvPr id="27652" name="Chart 5">
          <a:extLst>
            <a:ext uri="{FF2B5EF4-FFF2-40B4-BE49-F238E27FC236}">
              <a16:creationId xmlns:a16="http://schemas.microsoft.com/office/drawing/2014/main" id="{1980C511-841B-4BF6-8CA7-02CF9343FE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19</xdr:col>
      <xdr:colOff>209550</xdr:colOff>
      <xdr:row>36</xdr:row>
      <xdr:rowOff>95251</xdr:rowOff>
    </xdr:from>
    <xdr:to>
      <xdr:col>20</xdr:col>
      <xdr:colOff>271097</xdr:colOff>
      <xdr:row>37</xdr:row>
      <xdr:rowOff>123826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EB5563C5-2D2D-4A90-B6EA-80EF4220FD3A}"/>
            </a:ext>
          </a:extLst>
        </xdr:cNvPr>
        <xdr:cNvSpPr txBox="1"/>
      </xdr:nvSpPr>
      <xdr:spPr>
        <a:xfrm>
          <a:off x="12416204" y="6074020"/>
          <a:ext cx="669681" cy="18976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0">
              <a:latin typeface="Times New Roman" panose="02020603050405020304" pitchFamily="18" charset="0"/>
              <a:cs typeface="Times New Roman" panose="02020603050405020304" pitchFamily="18" charset="0"/>
            </a:rPr>
            <a:t>Storks</a:t>
          </a:r>
        </a:p>
      </xdr:txBody>
    </xdr:sp>
    <xdr:clientData/>
  </xdr:twoCellAnchor>
  <xdr:twoCellAnchor>
    <xdr:from>
      <xdr:col>12</xdr:col>
      <xdr:colOff>381000</xdr:colOff>
      <xdr:row>18</xdr:row>
      <xdr:rowOff>77667</xdr:rowOff>
    </xdr:from>
    <xdr:to>
      <xdr:col>13</xdr:col>
      <xdr:colOff>552449</xdr:colOff>
      <xdr:row>19</xdr:row>
      <xdr:rowOff>134083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6D0C4F7-DA76-4330-B717-574F3A6EDC28}"/>
            </a:ext>
          </a:extLst>
        </xdr:cNvPr>
        <xdr:cNvSpPr txBox="1"/>
      </xdr:nvSpPr>
      <xdr:spPr>
        <a:xfrm>
          <a:off x="8330712" y="3154975"/>
          <a:ext cx="779583" cy="21760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0">
              <a:latin typeface="Times New Roman" panose="02020603050405020304" pitchFamily="18" charset="0"/>
              <a:cs typeface="Times New Roman" panose="02020603050405020304" pitchFamily="18" charset="0"/>
            </a:rPr>
            <a:t>Humans</a:t>
          </a:r>
        </a:p>
      </xdr:txBody>
    </xdr:sp>
    <xdr:clientData/>
  </xdr:twoCellAnchor>
  <xdr:twoCellAnchor>
    <xdr:from>
      <xdr:col>10</xdr:col>
      <xdr:colOff>212999</xdr:colOff>
      <xdr:row>33</xdr:row>
      <xdr:rowOff>146108</xdr:rowOff>
    </xdr:from>
    <xdr:to>
      <xdr:col>11</xdr:col>
      <xdr:colOff>95252</xdr:colOff>
      <xdr:row>35</xdr:row>
      <xdr:rowOff>17801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DC005B40-F689-4BDE-A08D-CE8B4108AD54}"/>
            </a:ext>
          </a:extLst>
        </xdr:cNvPr>
        <xdr:cNvSpPr txBox="1"/>
      </xdr:nvSpPr>
      <xdr:spPr>
        <a:xfrm>
          <a:off x="6746028" y="5502520"/>
          <a:ext cx="666665" cy="18545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0">
              <a:latin typeface="Times New Roman" panose="02020603050405020304" pitchFamily="18" charset="0"/>
              <a:cs typeface="Times New Roman" panose="02020603050405020304" pitchFamily="18" charset="0"/>
            </a:rPr>
            <a:t>Storks</a:t>
          </a:r>
        </a:p>
      </xdr:txBody>
    </xdr:sp>
    <xdr:clientData/>
  </xdr:twoCellAnchor>
  <xdr:twoCellAnchor>
    <xdr:from>
      <xdr:col>4</xdr:col>
      <xdr:colOff>419360</xdr:colOff>
      <xdr:row>20</xdr:row>
      <xdr:rowOff>129388</xdr:rowOff>
    </xdr:from>
    <xdr:to>
      <xdr:col>6</xdr:col>
      <xdr:colOff>41720</xdr:colOff>
      <xdr:row>22</xdr:row>
      <xdr:rowOff>28922</xdr:rowOff>
    </xdr:to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00778202-BA75-4CAF-8EAD-351C0560CA6D}"/>
            </a:ext>
          </a:extLst>
        </xdr:cNvPr>
        <xdr:cNvSpPr txBox="1"/>
      </xdr:nvSpPr>
      <xdr:spPr>
        <a:xfrm>
          <a:off x="2851036" y="3446329"/>
          <a:ext cx="776566" cy="21329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0">
              <a:latin typeface="Times New Roman" panose="02020603050405020304" pitchFamily="18" charset="0"/>
              <a:cs typeface="Times New Roman" panose="02020603050405020304" pitchFamily="18" charset="0"/>
            </a:rPr>
            <a:t>Humans</a:t>
          </a:r>
        </a:p>
      </xdr:txBody>
    </xdr:sp>
    <xdr:clientData/>
  </xdr:twoCellAnchor>
  <xdr:twoCellAnchor>
    <xdr:from>
      <xdr:col>12</xdr:col>
      <xdr:colOff>262304</xdr:colOff>
      <xdr:row>1</xdr:row>
      <xdr:rowOff>105510</xdr:rowOff>
    </xdr:from>
    <xdr:to>
      <xdr:col>13</xdr:col>
      <xdr:colOff>433753</xdr:colOff>
      <xdr:row>2</xdr:row>
      <xdr:rowOff>161925</xdr:rowOff>
    </xdr:to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DA07FA87-D3FD-4B38-B50B-C03A1180BF67}"/>
            </a:ext>
          </a:extLst>
        </xdr:cNvPr>
        <xdr:cNvSpPr txBox="1"/>
      </xdr:nvSpPr>
      <xdr:spPr>
        <a:xfrm>
          <a:off x="8212016" y="266702"/>
          <a:ext cx="779583" cy="21760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0">
              <a:latin typeface="Times New Roman" panose="02020603050405020304" pitchFamily="18" charset="0"/>
              <a:cs typeface="Times New Roman" panose="02020603050405020304" pitchFamily="18" charset="0"/>
            </a:rPr>
            <a:t>Humans</a:t>
          </a:r>
        </a:p>
      </xdr:txBody>
    </xdr:sp>
    <xdr:clientData/>
  </xdr:twoCellAnchor>
  <xdr:twoCellAnchor>
    <xdr:from>
      <xdr:col>19</xdr:col>
      <xdr:colOff>190499</xdr:colOff>
      <xdr:row>15</xdr:row>
      <xdr:rowOff>43961</xdr:rowOff>
    </xdr:from>
    <xdr:to>
      <xdr:col>20</xdr:col>
      <xdr:colOff>252046</xdr:colOff>
      <xdr:row>16</xdr:row>
      <xdr:rowOff>72537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041458BD-20CF-4239-A5DB-41ED10DA5A9C}"/>
            </a:ext>
          </a:extLst>
        </xdr:cNvPr>
        <xdr:cNvSpPr txBox="1"/>
      </xdr:nvSpPr>
      <xdr:spPr>
        <a:xfrm>
          <a:off x="12397153" y="2637692"/>
          <a:ext cx="669681" cy="18976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0">
              <a:latin typeface="Times New Roman" panose="02020603050405020304" pitchFamily="18" charset="0"/>
              <a:cs typeface="Times New Roman" panose="02020603050405020304" pitchFamily="18" charset="0"/>
            </a:rPr>
            <a:t>Storks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219075</xdr:colOff>
      <xdr:row>16</xdr:row>
      <xdr:rowOff>142875</xdr:rowOff>
    </xdr:from>
    <xdr:to>
      <xdr:col>21</xdr:col>
      <xdr:colOff>523875</xdr:colOff>
      <xdr:row>30</xdr:row>
      <xdr:rowOff>123825</xdr:rowOff>
    </xdr:to>
    <xdr:graphicFrame macro="">
      <xdr:nvGraphicFramePr>
        <xdr:cNvPr id="32769" name="Chart 1">
          <a:extLst>
            <a:ext uri="{FF2B5EF4-FFF2-40B4-BE49-F238E27FC236}">
              <a16:creationId xmlns:a16="http://schemas.microsoft.com/office/drawing/2014/main" id="{E57DCF0C-0D22-4B2F-8487-FD9428B2C4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219075</xdr:colOff>
      <xdr:row>44</xdr:row>
      <xdr:rowOff>95250</xdr:rowOff>
    </xdr:from>
    <xdr:to>
      <xdr:col>15</xdr:col>
      <xdr:colOff>523875</xdr:colOff>
      <xdr:row>59</xdr:row>
      <xdr:rowOff>19050</xdr:rowOff>
    </xdr:to>
    <xdr:graphicFrame macro="">
      <xdr:nvGraphicFramePr>
        <xdr:cNvPr id="32770" name="Chart 1">
          <a:extLst>
            <a:ext uri="{FF2B5EF4-FFF2-40B4-BE49-F238E27FC236}">
              <a16:creationId xmlns:a16="http://schemas.microsoft.com/office/drawing/2014/main" id="{D7D3BF1A-53CD-40E2-B81A-2CAE0C0FB6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485775</xdr:colOff>
      <xdr:row>12</xdr:row>
      <xdr:rowOff>66675</xdr:rowOff>
    </xdr:from>
    <xdr:to>
      <xdr:col>15</xdr:col>
      <xdr:colOff>180975</xdr:colOff>
      <xdr:row>25</xdr:row>
      <xdr:rowOff>133350</xdr:rowOff>
    </xdr:to>
    <xdr:graphicFrame macro="">
      <xdr:nvGraphicFramePr>
        <xdr:cNvPr id="35841" name="Chart 2">
          <a:extLst>
            <a:ext uri="{FF2B5EF4-FFF2-40B4-BE49-F238E27FC236}">
              <a16:creationId xmlns:a16="http://schemas.microsoft.com/office/drawing/2014/main" id="{6375D52D-8E67-43E9-B609-C4BB65B6B5F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10</xdr:row>
      <xdr:rowOff>142875</xdr:rowOff>
    </xdr:from>
    <xdr:to>
      <xdr:col>17</xdr:col>
      <xdr:colOff>304800</xdr:colOff>
      <xdr:row>27</xdr:row>
      <xdr:rowOff>114300</xdr:rowOff>
    </xdr:to>
    <xdr:graphicFrame macro="">
      <xdr:nvGraphicFramePr>
        <xdr:cNvPr id="37889" name="Chart 3">
          <a:extLst>
            <a:ext uri="{FF2B5EF4-FFF2-40B4-BE49-F238E27FC236}">
              <a16:creationId xmlns:a16="http://schemas.microsoft.com/office/drawing/2014/main" id="{2D8FFC91-9073-4388-B2B1-5E9E8E1C09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447674</xdr:colOff>
      <xdr:row>25</xdr:row>
      <xdr:rowOff>76201</xdr:rowOff>
    </xdr:from>
    <xdr:to>
      <xdr:col>17</xdr:col>
      <xdr:colOff>285749</xdr:colOff>
      <xdr:row>27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EF29C2E7-2110-45AB-9F3E-4F5D3F82B655}"/>
            </a:ext>
          </a:extLst>
        </xdr:cNvPr>
        <xdr:cNvSpPr txBox="1"/>
      </xdr:nvSpPr>
      <xdr:spPr>
        <a:xfrm>
          <a:off x="10077449" y="4295776"/>
          <a:ext cx="1057275" cy="24764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FactorYellow</a:t>
          </a:r>
        </a:p>
      </xdr:txBody>
    </xdr:sp>
    <xdr:clientData/>
  </xdr:twoCellAnchor>
  <xdr:twoCellAnchor>
    <xdr:from>
      <xdr:col>10</xdr:col>
      <xdr:colOff>400049</xdr:colOff>
      <xdr:row>10</xdr:row>
      <xdr:rowOff>19051</xdr:rowOff>
    </xdr:from>
    <xdr:to>
      <xdr:col>12</xdr:col>
      <xdr:colOff>304800</xdr:colOff>
      <xdr:row>12</xdr:row>
      <xdr:rowOff>9525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83EB1BD9-BE7B-4966-8611-79DBE61B0D02}"/>
            </a:ext>
          </a:extLst>
        </xdr:cNvPr>
        <xdr:cNvSpPr txBox="1"/>
      </xdr:nvSpPr>
      <xdr:spPr>
        <a:xfrm>
          <a:off x="6981824" y="1790701"/>
          <a:ext cx="1123951" cy="33337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FactorOrgange</a:t>
          </a:r>
        </a:p>
      </xdr:txBody>
    </xdr:sp>
    <xdr:clientData/>
  </xdr:twoCellAnchor>
  <xdr:twoCellAnchor>
    <xdr:from>
      <xdr:col>15</xdr:col>
      <xdr:colOff>47624</xdr:colOff>
      <xdr:row>23</xdr:row>
      <xdr:rowOff>123826</xdr:rowOff>
    </xdr:from>
    <xdr:to>
      <xdr:col>15</xdr:col>
      <xdr:colOff>542925</xdr:colOff>
      <xdr:row>25</xdr:row>
      <xdr:rowOff>47625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B80EAB82-9165-4F46-AB48-6169769E69B5}"/>
            </a:ext>
          </a:extLst>
        </xdr:cNvPr>
        <xdr:cNvSpPr txBox="1"/>
      </xdr:nvSpPr>
      <xdr:spPr>
        <a:xfrm>
          <a:off x="9677399" y="4019551"/>
          <a:ext cx="495301" cy="2476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000" b="1">
              <a:latin typeface="Times New Roman" panose="02020603050405020304" pitchFamily="18" charset="0"/>
              <a:cs typeface="Times New Roman" panose="02020603050405020304" pitchFamily="18" charset="0"/>
            </a:rPr>
            <a:t>Var1</a:t>
          </a:r>
        </a:p>
      </xdr:txBody>
    </xdr:sp>
    <xdr:clientData/>
  </xdr:twoCellAnchor>
  <xdr:twoCellAnchor>
    <xdr:from>
      <xdr:col>14</xdr:col>
      <xdr:colOff>495299</xdr:colOff>
      <xdr:row>25</xdr:row>
      <xdr:rowOff>9526</xdr:rowOff>
    </xdr:from>
    <xdr:to>
      <xdr:col>15</xdr:col>
      <xdr:colOff>381000</xdr:colOff>
      <xdr:row>26</xdr:row>
      <xdr:rowOff>95250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19F9E44E-610D-45F5-9DB0-3882E1FF3615}"/>
            </a:ext>
          </a:extLst>
        </xdr:cNvPr>
        <xdr:cNvSpPr txBox="1"/>
      </xdr:nvSpPr>
      <xdr:spPr>
        <a:xfrm>
          <a:off x="9515474" y="4229101"/>
          <a:ext cx="495301" cy="2476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000" b="1">
              <a:latin typeface="Times New Roman" panose="02020603050405020304" pitchFamily="18" charset="0"/>
              <a:cs typeface="Times New Roman" panose="02020603050405020304" pitchFamily="18" charset="0"/>
            </a:rPr>
            <a:t>Var3</a:t>
          </a:r>
        </a:p>
      </xdr:txBody>
    </xdr:sp>
    <xdr:clientData/>
  </xdr:twoCellAnchor>
  <xdr:twoCellAnchor>
    <xdr:from>
      <xdr:col>15</xdr:col>
      <xdr:colOff>104774</xdr:colOff>
      <xdr:row>22</xdr:row>
      <xdr:rowOff>95251</xdr:rowOff>
    </xdr:from>
    <xdr:to>
      <xdr:col>15</xdr:col>
      <xdr:colOff>600075</xdr:colOff>
      <xdr:row>24</xdr:row>
      <xdr:rowOff>19050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2C36B005-155C-483E-8F1F-39058219B82E}"/>
            </a:ext>
          </a:extLst>
        </xdr:cNvPr>
        <xdr:cNvSpPr txBox="1"/>
      </xdr:nvSpPr>
      <xdr:spPr>
        <a:xfrm>
          <a:off x="9734549" y="3829051"/>
          <a:ext cx="495301" cy="2476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000" b="1">
              <a:latin typeface="Times New Roman" panose="02020603050405020304" pitchFamily="18" charset="0"/>
              <a:cs typeface="Times New Roman" panose="02020603050405020304" pitchFamily="18" charset="0"/>
            </a:rPr>
            <a:t>Var2</a:t>
          </a:r>
        </a:p>
      </xdr:txBody>
    </xdr:sp>
    <xdr:clientData/>
  </xdr:twoCellAnchor>
  <xdr:twoCellAnchor>
    <xdr:from>
      <xdr:col>10</xdr:col>
      <xdr:colOff>85724</xdr:colOff>
      <xdr:row>13</xdr:row>
      <xdr:rowOff>38101</xdr:rowOff>
    </xdr:from>
    <xdr:to>
      <xdr:col>10</xdr:col>
      <xdr:colOff>581025</xdr:colOff>
      <xdr:row>14</xdr:row>
      <xdr:rowOff>123825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F3874796-82FD-4082-B201-4F9AC35959E3}"/>
            </a:ext>
          </a:extLst>
        </xdr:cNvPr>
        <xdr:cNvSpPr txBox="1"/>
      </xdr:nvSpPr>
      <xdr:spPr>
        <a:xfrm>
          <a:off x="6667499" y="2314576"/>
          <a:ext cx="495301" cy="2476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000" b="1">
              <a:latin typeface="Times New Roman" panose="02020603050405020304" pitchFamily="18" charset="0"/>
              <a:cs typeface="Times New Roman" panose="02020603050405020304" pitchFamily="18" charset="0"/>
            </a:rPr>
            <a:t>Var4</a:t>
          </a:r>
        </a:p>
      </xdr:txBody>
    </xdr:sp>
    <xdr:clientData/>
  </xdr:twoCellAnchor>
  <xdr:twoCellAnchor>
    <xdr:from>
      <xdr:col>11</xdr:col>
      <xdr:colOff>247649</xdr:colOff>
      <xdr:row>13</xdr:row>
      <xdr:rowOff>66676</xdr:rowOff>
    </xdr:from>
    <xdr:to>
      <xdr:col>12</xdr:col>
      <xdr:colOff>133350</xdr:colOff>
      <xdr:row>14</xdr:row>
      <xdr:rowOff>152400</xdr:rowOff>
    </xdr:to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AD6154FA-6DF1-482F-870A-89C38ED3AEDC}"/>
            </a:ext>
          </a:extLst>
        </xdr:cNvPr>
        <xdr:cNvSpPr txBox="1"/>
      </xdr:nvSpPr>
      <xdr:spPr>
        <a:xfrm>
          <a:off x="7439024" y="2343151"/>
          <a:ext cx="495301" cy="2476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000" b="1">
              <a:latin typeface="Times New Roman" panose="02020603050405020304" pitchFamily="18" charset="0"/>
              <a:cs typeface="Times New Roman" panose="02020603050405020304" pitchFamily="18" charset="0"/>
            </a:rPr>
            <a:t>Var6</a:t>
          </a:r>
        </a:p>
      </xdr:txBody>
    </xdr:sp>
    <xdr:clientData/>
  </xdr:twoCellAnchor>
  <xdr:twoCellAnchor>
    <xdr:from>
      <xdr:col>11</xdr:col>
      <xdr:colOff>304799</xdr:colOff>
      <xdr:row>12</xdr:row>
      <xdr:rowOff>66676</xdr:rowOff>
    </xdr:from>
    <xdr:to>
      <xdr:col>12</xdr:col>
      <xdr:colOff>190500</xdr:colOff>
      <xdr:row>13</xdr:row>
      <xdr:rowOff>152400</xdr:rowOff>
    </xdr:to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E804F524-446D-4808-97BB-C4BFCD046964}"/>
            </a:ext>
          </a:extLst>
        </xdr:cNvPr>
        <xdr:cNvSpPr txBox="1"/>
      </xdr:nvSpPr>
      <xdr:spPr>
        <a:xfrm>
          <a:off x="7496174" y="2181226"/>
          <a:ext cx="495301" cy="2476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000" b="1">
              <a:latin typeface="Times New Roman" panose="02020603050405020304" pitchFamily="18" charset="0"/>
              <a:cs typeface="Times New Roman" panose="02020603050405020304" pitchFamily="18" charset="0"/>
            </a:rPr>
            <a:t>Var5</a:t>
          </a:r>
        </a:p>
      </xdr:txBody>
    </xdr:sp>
    <xdr:clientData/>
  </xdr:twoCellAnchor>
  <xdr:twoCellAnchor>
    <xdr:from>
      <xdr:col>10</xdr:col>
      <xdr:colOff>485775</xdr:colOff>
      <xdr:row>29</xdr:row>
      <xdr:rowOff>123825</xdr:rowOff>
    </xdr:from>
    <xdr:to>
      <xdr:col>18</xdr:col>
      <xdr:colOff>180975</xdr:colOff>
      <xdr:row>43</xdr:row>
      <xdr:rowOff>38100</xdr:rowOff>
    </xdr:to>
    <xdr:graphicFrame macro="">
      <xdr:nvGraphicFramePr>
        <xdr:cNvPr id="37898" name="Chart 11">
          <a:extLst>
            <a:ext uri="{FF2B5EF4-FFF2-40B4-BE49-F238E27FC236}">
              <a16:creationId xmlns:a16="http://schemas.microsoft.com/office/drawing/2014/main" id="{B055B96F-93E1-44C0-9FAA-08C8BAC3BB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16</xdr:col>
      <xdr:colOff>419099</xdr:colOff>
      <xdr:row>42</xdr:row>
      <xdr:rowOff>95251</xdr:rowOff>
    </xdr:from>
    <xdr:to>
      <xdr:col>18</xdr:col>
      <xdr:colOff>257175</xdr:colOff>
      <xdr:row>44</xdr:row>
      <xdr:rowOff>19050</xdr:rowOff>
    </xdr:to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CA06B20A-ED0B-4D20-AD28-F43BE10234A7}"/>
            </a:ext>
          </a:extLst>
        </xdr:cNvPr>
        <xdr:cNvSpPr txBox="1"/>
      </xdr:nvSpPr>
      <xdr:spPr>
        <a:xfrm>
          <a:off x="10658474" y="7629526"/>
          <a:ext cx="1057276" cy="24764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Component</a:t>
          </a:r>
        </a:p>
      </xdr:txBody>
    </xdr:sp>
    <xdr:clientData/>
  </xdr:twoCellAnchor>
  <xdr:twoCellAnchor>
    <xdr:from>
      <xdr:col>10</xdr:col>
      <xdr:colOff>219074</xdr:colOff>
      <xdr:row>28</xdr:row>
      <xdr:rowOff>66676</xdr:rowOff>
    </xdr:from>
    <xdr:to>
      <xdr:col>12</xdr:col>
      <xdr:colOff>304800</xdr:colOff>
      <xdr:row>29</xdr:row>
      <xdr:rowOff>152400</xdr:rowOff>
    </xdr:to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A36CE560-100D-43BD-8095-12B08B679622}"/>
            </a:ext>
          </a:extLst>
        </xdr:cNvPr>
        <xdr:cNvSpPr txBox="1"/>
      </xdr:nvSpPr>
      <xdr:spPr>
        <a:xfrm>
          <a:off x="6800849" y="4772026"/>
          <a:ext cx="1304926" cy="24764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Eigenvalue Total</a:t>
          </a:r>
        </a:p>
      </xdr:txBody>
    </xdr:sp>
    <xdr:clientData/>
  </xdr:twoCellAnchor>
  <xdr:twoCellAnchor editAs="oneCell">
    <xdr:from>
      <xdr:col>25</xdr:col>
      <xdr:colOff>114300</xdr:colOff>
      <xdr:row>49</xdr:row>
      <xdr:rowOff>47625</xdr:rowOff>
    </xdr:from>
    <xdr:to>
      <xdr:col>25</xdr:col>
      <xdr:colOff>4619625</xdr:colOff>
      <xdr:row>65</xdr:row>
      <xdr:rowOff>38100</xdr:rowOff>
    </xdr:to>
    <xdr:pic>
      <xdr:nvPicPr>
        <xdr:cNvPr id="37901" name="Picture 17">
          <a:extLst>
            <a:ext uri="{FF2B5EF4-FFF2-40B4-BE49-F238E27FC236}">
              <a16:creationId xmlns:a16="http://schemas.microsoft.com/office/drawing/2014/main" id="{044065BC-3316-45B5-B9C3-F1D80E3658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40075" y="8715375"/>
          <a:ext cx="4505325" cy="297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171450</xdr:colOff>
      <xdr:row>12</xdr:row>
      <xdr:rowOff>19050</xdr:rowOff>
    </xdr:from>
    <xdr:to>
      <xdr:col>11</xdr:col>
      <xdr:colOff>381000</xdr:colOff>
      <xdr:row>26</xdr:row>
      <xdr:rowOff>85725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id="{ADEC5C74-2BCC-4098-B4EE-FB6FDF8372FF}"/>
            </a:ext>
          </a:extLst>
        </xdr:cNvPr>
        <xdr:cNvCxnSpPr/>
      </xdr:nvCxnSpPr>
      <xdr:spPr>
        <a:xfrm>
          <a:off x="7362825" y="2133600"/>
          <a:ext cx="209550" cy="2333625"/>
        </a:xfrm>
        <a:prstGeom prst="line">
          <a:avLst/>
        </a:prstGeom>
        <a:ln w="158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419100</xdr:colOff>
      <xdr:row>23</xdr:row>
      <xdr:rowOff>104775</xdr:rowOff>
    </xdr:from>
    <xdr:to>
      <xdr:col>16</xdr:col>
      <xdr:colOff>381000</xdr:colOff>
      <xdr:row>24</xdr:row>
      <xdr:rowOff>133350</xdr:rowOff>
    </xdr:to>
    <xdr:cxnSp macro="">
      <xdr:nvCxnSpPr>
        <xdr:cNvPr id="28" name="Straight Connector 27">
          <a:extLst>
            <a:ext uri="{FF2B5EF4-FFF2-40B4-BE49-F238E27FC236}">
              <a16:creationId xmlns:a16="http://schemas.microsoft.com/office/drawing/2014/main" id="{4F7D995A-670C-4BA6-9D57-7923F5CFDFB1}"/>
            </a:ext>
          </a:extLst>
        </xdr:cNvPr>
        <xdr:cNvCxnSpPr/>
      </xdr:nvCxnSpPr>
      <xdr:spPr>
        <a:xfrm flipH="1" flipV="1">
          <a:off x="7000875" y="4000500"/>
          <a:ext cx="3619500" cy="190500"/>
        </a:xfrm>
        <a:prstGeom prst="line">
          <a:avLst/>
        </a:prstGeom>
        <a:ln w="158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304801</xdr:colOff>
      <xdr:row>23</xdr:row>
      <xdr:rowOff>133350</xdr:rowOff>
    </xdr:from>
    <xdr:to>
      <xdr:col>16</xdr:col>
      <xdr:colOff>485775</xdr:colOff>
      <xdr:row>24</xdr:row>
      <xdr:rowOff>133350</xdr:rowOff>
    </xdr:to>
    <xdr:sp macro="" textlink="">
      <xdr:nvSpPr>
        <xdr:cNvPr id="35" name="Arrow: Down 34">
          <a:extLst>
            <a:ext uri="{FF2B5EF4-FFF2-40B4-BE49-F238E27FC236}">
              <a16:creationId xmlns:a16="http://schemas.microsoft.com/office/drawing/2014/main" id="{2336EC54-F29F-4673-9874-4B7662E99F54}"/>
            </a:ext>
          </a:extLst>
        </xdr:cNvPr>
        <xdr:cNvSpPr/>
      </xdr:nvSpPr>
      <xdr:spPr>
        <a:xfrm>
          <a:off x="10544176" y="4029075"/>
          <a:ext cx="180974" cy="161925"/>
        </a:xfrm>
        <a:prstGeom prst="downArrow">
          <a:avLst/>
        </a:prstGeom>
        <a:solidFill>
          <a:schemeClr val="tx1">
            <a:lumMod val="65000"/>
            <a:lumOff val="35000"/>
          </a:schemeClr>
        </a:solidFill>
        <a:ln>
          <a:solidFill>
            <a:schemeClr val="tx1">
              <a:lumMod val="65000"/>
              <a:lumOff val="3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11</xdr:col>
      <xdr:colOff>171450</xdr:colOff>
      <xdr:row>11</xdr:row>
      <xdr:rowOff>104775</xdr:rowOff>
    </xdr:from>
    <xdr:to>
      <xdr:col>11</xdr:col>
      <xdr:colOff>342900</xdr:colOff>
      <xdr:row>12</xdr:row>
      <xdr:rowOff>85725</xdr:rowOff>
    </xdr:to>
    <xdr:sp macro="" textlink="">
      <xdr:nvSpPr>
        <xdr:cNvPr id="36" name="Arrow: Left 35">
          <a:extLst>
            <a:ext uri="{FF2B5EF4-FFF2-40B4-BE49-F238E27FC236}">
              <a16:creationId xmlns:a16="http://schemas.microsoft.com/office/drawing/2014/main" id="{C17E2F02-4085-49B0-B6F4-81976AABC372}"/>
            </a:ext>
          </a:extLst>
        </xdr:cNvPr>
        <xdr:cNvSpPr/>
      </xdr:nvSpPr>
      <xdr:spPr>
        <a:xfrm>
          <a:off x="7362825" y="2038350"/>
          <a:ext cx="171450" cy="161925"/>
        </a:xfrm>
        <a:prstGeom prst="leftArrow">
          <a:avLst/>
        </a:prstGeom>
        <a:solidFill>
          <a:schemeClr val="tx1">
            <a:lumMod val="65000"/>
            <a:lumOff val="35000"/>
          </a:schemeClr>
        </a:solidFill>
        <a:ln>
          <a:solidFill>
            <a:schemeClr val="tx1">
              <a:lumMod val="65000"/>
              <a:lumOff val="3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352425</xdr:colOff>
      <xdr:row>3</xdr:row>
      <xdr:rowOff>57150</xdr:rowOff>
    </xdr:from>
    <xdr:to>
      <xdr:col>15</xdr:col>
      <xdr:colOff>276225</xdr:colOff>
      <xdr:row>33</xdr:row>
      <xdr:rowOff>133350</xdr:rowOff>
    </xdr:to>
    <xdr:graphicFrame macro="">
      <xdr:nvGraphicFramePr>
        <xdr:cNvPr id="40961" name="Chart 1">
          <a:extLst>
            <a:ext uri="{FF2B5EF4-FFF2-40B4-BE49-F238E27FC236}">
              <a16:creationId xmlns:a16="http://schemas.microsoft.com/office/drawing/2014/main" id="{AE463CED-E8EB-4725-AD22-A45935CE50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247650</xdr:colOff>
      <xdr:row>3</xdr:row>
      <xdr:rowOff>123825</xdr:rowOff>
    </xdr:from>
    <xdr:to>
      <xdr:col>9</xdr:col>
      <xdr:colOff>333375</xdr:colOff>
      <xdr:row>5</xdr:row>
      <xdr:rowOff>47624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7D9F0611-1FFA-4D0B-801B-41F0F8D3FCCD}"/>
            </a:ext>
          </a:extLst>
        </xdr:cNvPr>
        <xdr:cNvSpPr txBox="1"/>
      </xdr:nvSpPr>
      <xdr:spPr>
        <a:xfrm>
          <a:off x="5343525" y="609600"/>
          <a:ext cx="695325" cy="24764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w = 0.1</a:t>
          </a:r>
        </a:p>
      </xdr:txBody>
    </xdr:sp>
    <xdr:clientData/>
  </xdr:twoCellAnchor>
  <xdr:twoCellAnchor>
    <xdr:from>
      <xdr:col>8</xdr:col>
      <xdr:colOff>571500</xdr:colOff>
      <xdr:row>5</xdr:row>
      <xdr:rowOff>0</xdr:rowOff>
    </xdr:from>
    <xdr:to>
      <xdr:col>10</xdr:col>
      <xdr:colOff>47625</xdr:colOff>
      <xdr:row>6</xdr:row>
      <xdr:rowOff>85724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649B25F1-772F-48F7-AB1E-83EEFF03EF97}"/>
            </a:ext>
          </a:extLst>
        </xdr:cNvPr>
        <xdr:cNvSpPr txBox="1"/>
      </xdr:nvSpPr>
      <xdr:spPr>
        <a:xfrm>
          <a:off x="5667375" y="809625"/>
          <a:ext cx="695325" cy="24764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w = 0.1</a:t>
          </a:r>
        </a:p>
      </xdr:txBody>
    </xdr:sp>
    <xdr:clientData/>
  </xdr:twoCellAnchor>
  <xdr:twoCellAnchor>
    <xdr:from>
      <xdr:col>9</xdr:col>
      <xdr:colOff>257175</xdr:colOff>
      <xdr:row>6</xdr:row>
      <xdr:rowOff>57150</xdr:rowOff>
    </xdr:from>
    <xdr:to>
      <xdr:col>10</xdr:col>
      <xdr:colOff>342900</xdr:colOff>
      <xdr:row>7</xdr:row>
      <xdr:rowOff>142874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F5C462BC-2B04-4832-836B-00BC6553259B}"/>
            </a:ext>
          </a:extLst>
        </xdr:cNvPr>
        <xdr:cNvSpPr txBox="1"/>
      </xdr:nvSpPr>
      <xdr:spPr>
        <a:xfrm>
          <a:off x="5962650" y="1028700"/>
          <a:ext cx="695325" cy="24764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w = 0.1</a:t>
          </a:r>
        </a:p>
      </xdr:txBody>
    </xdr:sp>
    <xdr:clientData/>
  </xdr:twoCellAnchor>
  <xdr:twoCellAnchor>
    <xdr:from>
      <xdr:col>8</xdr:col>
      <xdr:colOff>238125</xdr:colOff>
      <xdr:row>5</xdr:row>
      <xdr:rowOff>57150</xdr:rowOff>
    </xdr:from>
    <xdr:to>
      <xdr:col>8</xdr:col>
      <xdr:colOff>376026</xdr:colOff>
      <xdr:row>6</xdr:row>
      <xdr:rowOff>41238</xdr:rowOff>
    </xdr:to>
    <xdr:cxnSp macro="">
      <xdr:nvCxnSpPr>
        <xdr:cNvPr id="7" name="Straight Arrow Connector 6">
          <a:extLst>
            <a:ext uri="{FF2B5EF4-FFF2-40B4-BE49-F238E27FC236}">
              <a16:creationId xmlns:a16="http://schemas.microsoft.com/office/drawing/2014/main" id="{C49CDA86-6A64-4DB9-9E4B-1D41DC315161}"/>
            </a:ext>
          </a:extLst>
        </xdr:cNvPr>
        <xdr:cNvCxnSpPr>
          <a:cxnSpLocks noChangeAspect="1"/>
        </xdr:cNvCxnSpPr>
      </xdr:nvCxnSpPr>
      <xdr:spPr>
        <a:xfrm flipH="1">
          <a:off x="5334000" y="866775"/>
          <a:ext cx="137901" cy="146013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476250</xdr:colOff>
      <xdr:row>6</xdr:row>
      <xdr:rowOff>54684</xdr:rowOff>
    </xdr:from>
    <xdr:to>
      <xdr:col>9</xdr:col>
      <xdr:colOff>82550</xdr:colOff>
      <xdr:row>7</xdr:row>
      <xdr:rowOff>121359</xdr:rowOff>
    </xdr:to>
    <xdr:cxnSp macro="">
      <xdr:nvCxnSpPr>
        <xdr:cNvPr id="9" name="Straight Arrow Connector 8">
          <a:extLst>
            <a:ext uri="{FF2B5EF4-FFF2-40B4-BE49-F238E27FC236}">
              <a16:creationId xmlns:a16="http://schemas.microsoft.com/office/drawing/2014/main" id="{6A17BC84-E2D4-4A23-BDDA-BEDF50A5332B}"/>
            </a:ext>
          </a:extLst>
        </xdr:cNvPr>
        <xdr:cNvCxnSpPr>
          <a:cxnSpLocks noChangeAspect="1"/>
        </xdr:cNvCxnSpPr>
      </xdr:nvCxnSpPr>
      <xdr:spPr>
        <a:xfrm flipH="1">
          <a:off x="5572125" y="1026234"/>
          <a:ext cx="215900" cy="228600"/>
        </a:xfrm>
        <a:prstGeom prst="straightConnector1">
          <a:avLst/>
        </a:prstGeom>
        <a:ln>
          <a:solidFill>
            <a:srgbClr val="00B050"/>
          </a:solidFill>
          <a:prstDash val="sysDash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38100</xdr:colOff>
      <xdr:row>7</xdr:row>
      <xdr:rowOff>121359</xdr:rowOff>
    </xdr:from>
    <xdr:to>
      <xdr:col>9</xdr:col>
      <xdr:colOff>383540</xdr:colOff>
      <xdr:row>10</xdr:row>
      <xdr:rowOff>1344</xdr:rowOff>
    </xdr:to>
    <xdr:cxnSp macro="">
      <xdr:nvCxnSpPr>
        <xdr:cNvPr id="10" name="Straight Arrow Connector 9">
          <a:extLst>
            <a:ext uri="{FF2B5EF4-FFF2-40B4-BE49-F238E27FC236}">
              <a16:creationId xmlns:a16="http://schemas.microsoft.com/office/drawing/2014/main" id="{3BFA7021-1D3A-467E-A3E7-A5C871911DDD}"/>
            </a:ext>
          </a:extLst>
        </xdr:cNvPr>
        <xdr:cNvCxnSpPr>
          <a:cxnSpLocks noChangeAspect="1"/>
        </xdr:cNvCxnSpPr>
      </xdr:nvCxnSpPr>
      <xdr:spPr>
        <a:xfrm flipH="1">
          <a:off x="5743575" y="1254834"/>
          <a:ext cx="345440" cy="365760"/>
        </a:xfrm>
        <a:prstGeom prst="straightConnector1">
          <a:avLst/>
        </a:prstGeom>
        <a:ln>
          <a:solidFill>
            <a:srgbClr val="FF0000"/>
          </a:solidFill>
          <a:prstDash val="sysDot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200025</xdr:colOff>
      <xdr:row>12</xdr:row>
      <xdr:rowOff>57150</xdr:rowOff>
    </xdr:from>
    <xdr:to>
      <xdr:col>16</xdr:col>
      <xdr:colOff>542925</xdr:colOff>
      <xdr:row>37</xdr:row>
      <xdr:rowOff>19050</xdr:rowOff>
    </xdr:to>
    <xdr:graphicFrame macro="">
      <xdr:nvGraphicFramePr>
        <xdr:cNvPr id="40968" name="Chart 5">
          <a:extLst>
            <a:ext uri="{FF2B5EF4-FFF2-40B4-BE49-F238E27FC236}">
              <a16:creationId xmlns:a16="http://schemas.microsoft.com/office/drawing/2014/main" id="{F3D2229D-5E32-4BC6-8E00-2A7FE70448F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BB890"/>
  <sheetViews>
    <sheetView showGridLines="0" tabSelected="1" zoomScale="85" zoomScaleNormal="85" workbookViewId="0">
      <selection activeCell="F30" sqref="F30"/>
    </sheetView>
  </sheetViews>
  <sheetFormatPr defaultRowHeight="12.75" x14ac:dyDescent="0.25"/>
  <cols>
    <col min="3" max="3" width="9.140625" customWidth="1"/>
    <col min="5" max="5" width="11.42578125" customWidth="1"/>
    <col min="26" max="26" width="12.5703125" customWidth="1"/>
    <col min="27" max="27" width="5.7109375" bestFit="1" customWidth="1"/>
    <col min="28" max="28" width="7.85546875" bestFit="1" customWidth="1"/>
    <col min="29" max="32" width="7.140625" customWidth="1"/>
    <col min="33" max="33" width="6.28515625" customWidth="1"/>
    <col min="34" max="34" width="7" customWidth="1"/>
    <col min="35" max="35" width="6.7109375" customWidth="1"/>
    <col min="36" max="37" width="6.28515625" customWidth="1"/>
    <col min="38" max="38" width="6" customWidth="1"/>
    <col min="39" max="39" width="6.85546875" customWidth="1"/>
    <col min="40" max="40" width="6.140625" customWidth="1"/>
    <col min="41" max="41" width="6" customWidth="1"/>
    <col min="42" max="42" width="5.85546875" customWidth="1"/>
    <col min="43" max="43" width="6.42578125" customWidth="1"/>
    <col min="44" max="53" width="6.42578125" bestFit="1" customWidth="1"/>
  </cols>
  <sheetData>
    <row r="4" spans="2:7" x14ac:dyDescent="0.25">
      <c r="B4" s="1"/>
      <c r="C4" s="1" t="s">
        <v>7</v>
      </c>
      <c r="D4" s="1" t="s">
        <v>1</v>
      </c>
      <c r="E4" s="1" t="s">
        <v>6</v>
      </c>
      <c r="F4" s="1" t="s">
        <v>5</v>
      </c>
      <c r="G4" s="1" t="s">
        <v>15</v>
      </c>
    </row>
    <row r="5" spans="2:7" x14ac:dyDescent="0.25">
      <c r="B5" s="1"/>
      <c r="C5" s="3">
        <v>0</v>
      </c>
      <c r="D5" s="1">
        <v>0</v>
      </c>
      <c r="E5" s="1"/>
      <c r="F5" s="5">
        <f>D5/36</f>
        <v>0</v>
      </c>
      <c r="G5" s="1"/>
    </row>
    <row r="6" spans="2:7" x14ac:dyDescent="0.25">
      <c r="B6">
        <f>C6*F6/2</f>
        <v>0</v>
      </c>
      <c r="C6" s="3">
        <v>1</v>
      </c>
      <c r="D6" s="3">
        <v>0</v>
      </c>
      <c r="E6" s="4" t="s">
        <v>8</v>
      </c>
      <c r="F6" s="5">
        <f>D6/36</f>
        <v>0</v>
      </c>
    </row>
    <row r="7" spans="2:7" x14ac:dyDescent="0.25">
      <c r="B7">
        <f>C7*F7/2</f>
        <v>2.7777777777777776E-2</v>
      </c>
      <c r="C7" s="3">
        <v>2</v>
      </c>
      <c r="D7" s="3">
        <v>1</v>
      </c>
      <c r="E7" s="4" t="s">
        <v>9</v>
      </c>
      <c r="F7" s="5">
        <f t="shared" ref="F7:F19" si="0">D7/36</f>
        <v>2.7777777777777776E-2</v>
      </c>
      <c r="G7">
        <f>F6+F7</f>
        <v>2.7777777777777776E-2</v>
      </c>
    </row>
    <row r="8" spans="2:7" x14ac:dyDescent="0.25">
      <c r="B8">
        <f>C8*F8/2</f>
        <v>8.3333333333333329E-2</v>
      </c>
      <c r="C8" s="3">
        <v>3</v>
      </c>
      <c r="D8" s="3">
        <v>2</v>
      </c>
      <c r="E8" s="4" t="s">
        <v>10</v>
      </c>
      <c r="F8" s="5">
        <f t="shared" si="0"/>
        <v>5.5555555555555552E-2</v>
      </c>
      <c r="G8">
        <f>SUM(F6:F8)</f>
        <v>8.3333333333333329E-2</v>
      </c>
    </row>
    <row r="9" spans="2:7" x14ac:dyDescent="0.25">
      <c r="B9">
        <f>C9*F9/2</f>
        <v>0.16666666666666666</v>
      </c>
      <c r="C9" s="3">
        <v>4</v>
      </c>
      <c r="D9" s="3">
        <v>3</v>
      </c>
      <c r="E9" s="4" t="s">
        <v>11</v>
      </c>
      <c r="F9" s="5">
        <f t="shared" si="0"/>
        <v>8.3333333333333329E-2</v>
      </c>
      <c r="G9">
        <f>SUM(F6:F9)</f>
        <v>0.16666666666666666</v>
      </c>
    </row>
    <row r="10" spans="2:7" x14ac:dyDescent="0.25">
      <c r="B10">
        <f>C10*F10/2</f>
        <v>0.27777777777777779</v>
      </c>
      <c r="C10" s="3">
        <v>5</v>
      </c>
      <c r="D10" s="3">
        <v>4</v>
      </c>
      <c r="E10" s="4" t="s">
        <v>12</v>
      </c>
      <c r="F10" s="5">
        <f t="shared" si="0"/>
        <v>0.1111111111111111</v>
      </c>
      <c r="G10">
        <f>SUM(F6:F10)</f>
        <v>0.27777777777777779</v>
      </c>
    </row>
    <row r="11" spans="2:7" x14ac:dyDescent="0.25">
      <c r="C11" s="3">
        <v>6</v>
      </c>
      <c r="D11" s="3">
        <v>5</v>
      </c>
      <c r="E11" s="4" t="s">
        <v>13</v>
      </c>
      <c r="F11" s="5">
        <f t="shared" si="0"/>
        <v>0.1388888888888889</v>
      </c>
    </row>
    <row r="12" spans="2:7" x14ac:dyDescent="0.25">
      <c r="C12" s="3">
        <v>7</v>
      </c>
      <c r="D12" s="3">
        <v>6</v>
      </c>
      <c r="E12" s="4" t="s">
        <v>14</v>
      </c>
      <c r="F12" s="5">
        <f t="shared" si="0"/>
        <v>0.16666666666666666</v>
      </c>
    </row>
    <row r="13" spans="2:7" x14ac:dyDescent="0.25">
      <c r="C13" s="3">
        <v>8</v>
      </c>
      <c r="D13" s="3">
        <v>5</v>
      </c>
      <c r="E13" s="4" t="s">
        <v>13</v>
      </c>
      <c r="F13" s="5">
        <f t="shared" si="0"/>
        <v>0.1388888888888889</v>
      </c>
    </row>
    <row r="14" spans="2:7" x14ac:dyDescent="0.25">
      <c r="C14" s="3">
        <v>9</v>
      </c>
      <c r="D14" s="3">
        <v>4</v>
      </c>
      <c r="E14" s="4" t="s">
        <v>12</v>
      </c>
      <c r="F14" s="5">
        <f t="shared" si="0"/>
        <v>0.1111111111111111</v>
      </c>
      <c r="G14">
        <f>SUM(F12:F14)</f>
        <v>0.41666666666666669</v>
      </c>
    </row>
    <row r="15" spans="2:7" x14ac:dyDescent="0.25">
      <c r="C15" s="3">
        <v>10</v>
      </c>
      <c r="D15" s="3">
        <v>3</v>
      </c>
      <c r="E15" s="4" t="s">
        <v>11</v>
      </c>
      <c r="F15" s="5">
        <f t="shared" si="0"/>
        <v>8.3333333333333329E-2</v>
      </c>
    </row>
    <row r="16" spans="2:7" x14ac:dyDescent="0.25">
      <c r="C16" s="3">
        <v>11</v>
      </c>
      <c r="D16" s="3">
        <v>2</v>
      </c>
      <c r="E16" s="4" t="s">
        <v>10</v>
      </c>
      <c r="F16" s="5">
        <f t="shared" si="0"/>
        <v>5.5555555555555552E-2</v>
      </c>
    </row>
    <row r="17" spans="3:7" x14ac:dyDescent="0.25">
      <c r="C17" s="3">
        <v>12</v>
      </c>
      <c r="D17" s="3">
        <v>1</v>
      </c>
      <c r="E17" s="4" t="s">
        <v>9</v>
      </c>
      <c r="F17" s="5">
        <f t="shared" si="0"/>
        <v>2.7777777777777776E-2</v>
      </c>
      <c r="G17">
        <f>SUM(F16:F17)</f>
        <v>8.3333333333333329E-2</v>
      </c>
    </row>
    <row r="18" spans="3:7" x14ac:dyDescent="0.25">
      <c r="C18" s="3">
        <v>13</v>
      </c>
      <c r="D18" s="3">
        <v>0</v>
      </c>
      <c r="E18" s="4" t="s">
        <v>8</v>
      </c>
      <c r="F18" s="5">
        <f t="shared" si="0"/>
        <v>0</v>
      </c>
    </row>
    <row r="19" spans="3:7" x14ac:dyDescent="0.25">
      <c r="C19" s="6" t="s">
        <v>0</v>
      </c>
      <c r="D19" s="3">
        <v>36</v>
      </c>
      <c r="E19" s="6" t="s">
        <v>0</v>
      </c>
      <c r="F19" s="5">
        <f t="shared" si="0"/>
        <v>1</v>
      </c>
    </row>
    <row r="49" spans="1:54" x14ac:dyDescent="0.25">
      <c r="C49" t="s">
        <v>19</v>
      </c>
    </row>
    <row r="51" spans="1:54" x14ac:dyDescent="0.25">
      <c r="A51" t="s">
        <v>18</v>
      </c>
      <c r="C51" t="s">
        <v>16</v>
      </c>
      <c r="H51" t="s">
        <v>26</v>
      </c>
    </row>
    <row r="52" spans="1:54" s="7" customFormat="1" x14ac:dyDescent="0.25">
      <c r="A52" s="7">
        <v>40</v>
      </c>
      <c r="B52" s="8" t="s">
        <v>17</v>
      </c>
      <c r="C52" s="7">
        <v>0.5</v>
      </c>
      <c r="D52" s="7">
        <v>0.3</v>
      </c>
      <c r="E52" s="7">
        <v>0.2</v>
      </c>
      <c r="U52" t="s">
        <v>18</v>
      </c>
      <c r="V52"/>
      <c r="W52" t="s">
        <v>16</v>
      </c>
      <c r="AQ52" s="477" t="s">
        <v>38</v>
      </c>
      <c r="AR52" s="478"/>
      <c r="AS52" s="478"/>
      <c r="AT52" s="478"/>
      <c r="AU52" s="478"/>
      <c r="AV52" s="478"/>
      <c r="AW52" s="478"/>
      <c r="AX52" s="478"/>
      <c r="AY52" s="479"/>
    </row>
    <row r="53" spans="1:54" x14ac:dyDescent="0.25">
      <c r="A53" s="1"/>
      <c r="B53" s="1">
        <v>1</v>
      </c>
      <c r="E53">
        <f>_xlfn.BINOM.DIST(B53,$A$52,$E$52,FALSE)</f>
        <v>1.3292279957849162E-3</v>
      </c>
      <c r="H53">
        <f>FACT($A$52)*POWER($C$52,B53)*POWER(1-$C$52,$A$52-B53)/(FACT($A$52-B53)*FACT(B53))</f>
        <v>3.6379788070917136E-11</v>
      </c>
      <c r="U53" s="7">
        <v>40</v>
      </c>
      <c r="V53" s="8" t="s">
        <v>17</v>
      </c>
      <c r="W53" s="7">
        <v>0.5</v>
      </c>
      <c r="AO53" s="57" t="s">
        <v>36</v>
      </c>
      <c r="AP53" s="58" t="s">
        <v>37</v>
      </c>
      <c r="AQ53" s="59">
        <v>0.1</v>
      </c>
      <c r="AR53" s="60">
        <f>AQ53+0.1</f>
        <v>0.2</v>
      </c>
      <c r="AS53" s="60">
        <f t="shared" ref="AS53:AX53" si="1">AR53+0.1</f>
        <v>0.30000000000000004</v>
      </c>
      <c r="AT53" s="60">
        <f t="shared" si="1"/>
        <v>0.4</v>
      </c>
      <c r="AU53" s="60">
        <f t="shared" si="1"/>
        <v>0.5</v>
      </c>
      <c r="AV53" s="60">
        <f t="shared" si="1"/>
        <v>0.6</v>
      </c>
      <c r="AW53" s="60">
        <f>AV53+0.1</f>
        <v>0.7</v>
      </c>
      <c r="AX53" s="60">
        <f t="shared" si="1"/>
        <v>0.79999999999999993</v>
      </c>
      <c r="AY53" s="61">
        <f>AX53+0.1</f>
        <v>0.89999999999999991</v>
      </c>
      <c r="AZ53" s="50"/>
    </row>
    <row r="54" spans="1:54" x14ac:dyDescent="0.25">
      <c r="A54" s="1"/>
      <c r="B54" s="1">
        <f>B53+1</f>
        <v>2</v>
      </c>
      <c r="D54">
        <f t="shared" ref="D54:D74" si="2">_xlfn.BINOM.DIST(B54,$A$52,$D$52,FALSE)</f>
        <v>9.1214237635880305E-5</v>
      </c>
      <c r="E54">
        <f t="shared" ref="E54:E69" si="3">_xlfn.BINOM.DIST(B54,$A$52,$E$52,FALSE)</f>
        <v>6.479986479451463E-3</v>
      </c>
      <c r="H54">
        <f t="shared" ref="H54:H90" si="4">FACT($A$52)*POWER($C$52,B54)*POWER(1-$C$52,$A$52-B54)/(FACT($A$52-B54)*FACT(B54))</f>
        <v>7.0940586738288434E-10</v>
      </c>
      <c r="U54" s="1"/>
      <c r="V54" s="1">
        <v>1</v>
      </c>
      <c r="W54">
        <f t="shared" ref="W54:W61" si="5">_xlfn.BINOM.DIST(V54,$U$53,$N$53,FALSE)</f>
        <v>0</v>
      </c>
      <c r="AO54" s="51">
        <v>6</v>
      </c>
      <c r="AP54" s="52">
        <v>0</v>
      </c>
      <c r="AQ54" s="65">
        <f t="shared" ref="AQ54:AY60" si="6">_xlfn.BINOM.DIST($AP54,$AO$54,AQ$53,FALSE)</f>
        <v>0.53144100000000005</v>
      </c>
      <c r="AR54" s="66">
        <f t="shared" si="6"/>
        <v>0.26214399999999993</v>
      </c>
      <c r="AS54" s="66">
        <f t="shared" si="6"/>
        <v>0.11764899999999995</v>
      </c>
      <c r="AT54" s="66">
        <f t="shared" si="6"/>
        <v>4.6655999999999989E-2</v>
      </c>
      <c r="AU54" s="66">
        <f t="shared" si="6"/>
        <v>1.5625000000000007E-2</v>
      </c>
      <c r="AV54" s="66">
        <f t="shared" si="6"/>
        <v>4.0960000000000024E-3</v>
      </c>
      <c r="AW54" s="66">
        <f t="shared" si="6"/>
        <v>7.2900000000000037E-4</v>
      </c>
      <c r="AX54" s="66">
        <f t="shared" si="6"/>
        <v>6.4000000000000065E-5</v>
      </c>
      <c r="AY54" s="67">
        <f t="shared" si="6"/>
        <v>1.000000000000004E-6</v>
      </c>
      <c r="AZ54" s="50"/>
    </row>
    <row r="55" spans="1:54" x14ac:dyDescent="0.25">
      <c r="A55" s="1"/>
      <c r="B55" s="1">
        <f t="shared" ref="B55:B80" si="7">B54+1</f>
        <v>3</v>
      </c>
      <c r="D55">
        <f t="shared" si="2"/>
        <v>4.9516300430906489E-4</v>
      </c>
      <c r="E55">
        <f t="shared" si="3"/>
        <v>2.0519957184929643E-2</v>
      </c>
      <c r="H55">
        <f t="shared" si="4"/>
        <v>8.9858076535165326E-9</v>
      </c>
      <c r="U55" s="1"/>
      <c r="V55" s="1">
        <f>V54+1</f>
        <v>2</v>
      </c>
      <c r="W55">
        <f t="shared" si="5"/>
        <v>0</v>
      </c>
      <c r="AO55" s="53"/>
      <c r="AP55" s="54">
        <v>1</v>
      </c>
      <c r="AQ55" s="68">
        <f t="shared" si="6"/>
        <v>0.354294</v>
      </c>
      <c r="AR55" s="69">
        <f t="shared" si="6"/>
        <v>0.39321600000000001</v>
      </c>
      <c r="AS55" s="69">
        <f t="shared" si="6"/>
        <v>0.30252599999999991</v>
      </c>
      <c r="AT55" s="69">
        <f t="shared" si="6"/>
        <v>0.18662399999999996</v>
      </c>
      <c r="AU55" s="69">
        <f t="shared" si="6"/>
        <v>9.375E-2</v>
      </c>
      <c r="AV55" s="69">
        <f t="shared" si="6"/>
        <v>3.6864000000000022E-2</v>
      </c>
      <c r="AW55" s="69">
        <f t="shared" si="6"/>
        <v>1.0206000000000015E-2</v>
      </c>
      <c r="AX55" s="69">
        <f t="shared" si="6"/>
        <v>1.5360000000000029E-3</v>
      </c>
      <c r="AY55" s="70">
        <f t="shared" si="6"/>
        <v>5.4000000000000289E-5</v>
      </c>
      <c r="AZ55" s="50"/>
    </row>
    <row r="56" spans="1:54" x14ac:dyDescent="0.25">
      <c r="A56" s="1"/>
      <c r="B56" s="1">
        <f t="shared" si="7"/>
        <v>4</v>
      </c>
      <c r="D56">
        <f t="shared" si="2"/>
        <v>1.9629676242252244E-3</v>
      </c>
      <c r="E56">
        <f t="shared" si="3"/>
        <v>4.7452400990149801E-2</v>
      </c>
      <c r="H56">
        <f t="shared" si="4"/>
        <v>8.3118720795027912E-8</v>
      </c>
      <c r="S56">
        <f>4/36</f>
        <v>0.1111111111111111</v>
      </c>
      <c r="U56" s="1"/>
      <c r="V56" s="1">
        <f t="shared" ref="V56:V64" si="8">V55+1</f>
        <v>3</v>
      </c>
      <c r="W56">
        <f t="shared" si="5"/>
        <v>0</v>
      </c>
      <c r="AO56" s="53"/>
      <c r="AP56" s="54">
        <v>2</v>
      </c>
      <c r="AQ56" s="68">
        <f t="shared" si="6"/>
        <v>9.8415000000000002E-2</v>
      </c>
      <c r="AR56" s="69">
        <f t="shared" si="6"/>
        <v>0.24575999999999998</v>
      </c>
      <c r="AS56" s="69">
        <f t="shared" si="6"/>
        <v>0.32413500000000006</v>
      </c>
      <c r="AT56" s="69">
        <f t="shared" si="6"/>
        <v>0.31103999999999998</v>
      </c>
      <c r="AU56" s="69">
        <f t="shared" si="6"/>
        <v>0.23437500000000003</v>
      </c>
      <c r="AV56" s="69">
        <f t="shared" si="6"/>
        <v>0.13824000000000003</v>
      </c>
      <c r="AW56" s="69">
        <f t="shared" si="6"/>
        <v>5.9535000000000053E-2</v>
      </c>
      <c r="AX56" s="69">
        <f t="shared" si="6"/>
        <v>1.5360000000000018E-2</v>
      </c>
      <c r="AY56" s="70">
        <f t="shared" si="6"/>
        <v>1.2150000000000045E-3</v>
      </c>
      <c r="AZ56" s="50"/>
    </row>
    <row r="57" spans="1:54" x14ac:dyDescent="0.25">
      <c r="A57" s="1"/>
      <c r="B57" s="1">
        <f t="shared" si="7"/>
        <v>5</v>
      </c>
      <c r="D57">
        <f t="shared" si="2"/>
        <v>6.0571572404664025E-3</v>
      </c>
      <c r="E57">
        <f t="shared" si="3"/>
        <v>8.5414321782269667E-2</v>
      </c>
      <c r="H57">
        <f t="shared" si="4"/>
        <v>5.9845478972420128E-7</v>
      </c>
      <c r="S57">
        <f>4/36</f>
        <v>0.1111111111111111</v>
      </c>
      <c r="U57" s="1"/>
      <c r="V57" s="1">
        <f t="shared" si="8"/>
        <v>4</v>
      </c>
      <c r="W57">
        <f t="shared" si="5"/>
        <v>0</v>
      </c>
      <c r="AO57" s="53"/>
      <c r="AP57" s="54">
        <v>3</v>
      </c>
      <c r="AQ57" s="68">
        <f t="shared" si="6"/>
        <v>1.4580000000000011E-2</v>
      </c>
      <c r="AR57" s="69">
        <f t="shared" si="6"/>
        <v>8.1920000000000021E-2</v>
      </c>
      <c r="AS57" s="69">
        <f t="shared" si="6"/>
        <v>0.18522</v>
      </c>
      <c r="AT57" s="69">
        <f t="shared" si="6"/>
        <v>0.27648</v>
      </c>
      <c r="AU57" s="69">
        <f t="shared" si="6"/>
        <v>0.31249999999999994</v>
      </c>
      <c r="AV57" s="69">
        <f t="shared" si="6"/>
        <v>0.27648</v>
      </c>
      <c r="AW57" s="69">
        <f t="shared" si="6"/>
        <v>0.18522</v>
      </c>
      <c r="AX57" s="69">
        <f t="shared" si="6"/>
        <v>8.1920000000000062E-2</v>
      </c>
      <c r="AY57" s="70">
        <f t="shared" si="6"/>
        <v>1.4580000000000037E-2</v>
      </c>
      <c r="AZ57" s="50"/>
    </row>
    <row r="58" spans="1:54" x14ac:dyDescent="0.25">
      <c r="A58" s="1"/>
      <c r="B58" s="1">
        <f t="shared" si="7"/>
        <v>6</v>
      </c>
      <c r="D58">
        <f t="shared" si="2"/>
        <v>1.5142893101165985E-2</v>
      </c>
      <c r="E58">
        <f t="shared" si="3"/>
        <v>0.12456255259914313</v>
      </c>
      <c r="H58">
        <f t="shared" si="4"/>
        <v>3.4909862733911744E-6</v>
      </c>
      <c r="S58">
        <f>4/36</f>
        <v>0.1111111111111111</v>
      </c>
      <c r="U58" s="1"/>
      <c r="V58" s="1">
        <f t="shared" si="8"/>
        <v>5</v>
      </c>
      <c r="W58">
        <f t="shared" si="5"/>
        <v>0</v>
      </c>
      <c r="AO58" s="53"/>
      <c r="AP58" s="54">
        <v>4</v>
      </c>
      <c r="AQ58" s="68">
        <f t="shared" si="6"/>
        <v>1.2150000000000012E-3</v>
      </c>
      <c r="AR58" s="69">
        <f t="shared" si="6"/>
        <v>1.5359999999999997E-2</v>
      </c>
      <c r="AS58" s="69">
        <f t="shared" si="6"/>
        <v>5.9535000000000053E-2</v>
      </c>
      <c r="AT58" s="69">
        <f t="shared" si="6"/>
        <v>0.13824000000000003</v>
      </c>
      <c r="AU58" s="69">
        <f t="shared" si="6"/>
        <v>0.23437500000000003</v>
      </c>
      <c r="AV58" s="69">
        <f t="shared" si="6"/>
        <v>0.31103999999999998</v>
      </c>
      <c r="AW58" s="69">
        <f t="shared" si="6"/>
        <v>0.32413500000000006</v>
      </c>
      <c r="AX58" s="69">
        <f t="shared" si="6"/>
        <v>0.24576000000000015</v>
      </c>
      <c r="AY58" s="70">
        <f t="shared" si="6"/>
        <v>9.8415000000000127E-2</v>
      </c>
      <c r="AZ58" s="50"/>
      <c r="BB58" s="294">
        <f>_xlfn.BINOM.DIST(770,1000,0.75,FALSE)</f>
        <v>1.0109897703200883E-2</v>
      </c>
    </row>
    <row r="59" spans="1:54" x14ac:dyDescent="0.25">
      <c r="A59" s="1"/>
      <c r="B59" s="1">
        <f t="shared" si="7"/>
        <v>7</v>
      </c>
      <c r="D59">
        <f t="shared" si="2"/>
        <v>3.152194074120266E-2</v>
      </c>
      <c r="E59">
        <f t="shared" si="3"/>
        <v>0.15125452815610244</v>
      </c>
      <c r="H59">
        <f t="shared" si="4"/>
        <v>1.6956219042185694E-5</v>
      </c>
      <c r="U59" s="1"/>
      <c r="V59" s="1">
        <f t="shared" si="8"/>
        <v>6</v>
      </c>
      <c r="W59">
        <f t="shared" si="5"/>
        <v>0</v>
      </c>
      <c r="AO59" s="53"/>
      <c r="AP59" s="54">
        <v>5</v>
      </c>
      <c r="AQ59" s="68">
        <f t="shared" si="6"/>
        <v>5.3999999999999998E-5</v>
      </c>
      <c r="AR59" s="69">
        <f t="shared" si="6"/>
        <v>1.536E-3</v>
      </c>
      <c r="AS59" s="69">
        <f t="shared" si="6"/>
        <v>1.0206000000000015E-2</v>
      </c>
      <c r="AT59" s="69">
        <f t="shared" si="6"/>
        <v>3.6864000000000022E-2</v>
      </c>
      <c r="AU59" s="69">
        <f t="shared" si="6"/>
        <v>9.375E-2</v>
      </c>
      <c r="AV59" s="69">
        <f t="shared" si="6"/>
        <v>0.18662399999999996</v>
      </c>
      <c r="AW59" s="69">
        <f t="shared" si="6"/>
        <v>0.30252599999999991</v>
      </c>
      <c r="AX59" s="69">
        <f t="shared" si="6"/>
        <v>0.39321600000000001</v>
      </c>
      <c r="AY59" s="70">
        <f t="shared" si="6"/>
        <v>0.35429400000000016</v>
      </c>
      <c r="AZ59" s="50"/>
    </row>
    <row r="60" spans="1:54" x14ac:dyDescent="0.25">
      <c r="A60" s="1"/>
      <c r="B60" s="1">
        <f t="shared" si="7"/>
        <v>8</v>
      </c>
      <c r="D60">
        <f t="shared" si="2"/>
        <v>5.5726288096054712E-2</v>
      </c>
      <c r="E60">
        <f t="shared" si="3"/>
        <v>0.15598123216098067</v>
      </c>
      <c r="H60">
        <f t="shared" si="4"/>
        <v>6.9944403549016001E-5</v>
      </c>
      <c r="U60" s="1"/>
      <c r="V60" s="1">
        <f t="shared" si="8"/>
        <v>7</v>
      </c>
      <c r="W60">
        <f t="shared" si="5"/>
        <v>0</v>
      </c>
      <c r="AO60" s="55"/>
      <c r="AP60" s="56">
        <v>6</v>
      </c>
      <c r="AQ60" s="68">
        <f t="shared" si="6"/>
        <v>1.0000000000000004E-6</v>
      </c>
      <c r="AR60" s="69">
        <f t="shared" si="6"/>
        <v>6.4000000000000065E-5</v>
      </c>
      <c r="AS60" s="69">
        <f t="shared" si="6"/>
        <v>7.2900000000000037E-4</v>
      </c>
      <c r="AT60" s="69">
        <f t="shared" si="6"/>
        <v>4.0960000000000024E-3</v>
      </c>
      <c r="AU60" s="69">
        <f t="shared" si="6"/>
        <v>1.5625000000000007E-2</v>
      </c>
      <c r="AV60" s="69">
        <f t="shared" si="6"/>
        <v>4.6655999999999989E-2</v>
      </c>
      <c r="AW60" s="69">
        <f t="shared" si="6"/>
        <v>0.11764899999999995</v>
      </c>
      <c r="AX60" s="69">
        <f t="shared" si="6"/>
        <v>0.26214399999999982</v>
      </c>
      <c r="AY60" s="70">
        <f t="shared" si="6"/>
        <v>0.53144099999999961</v>
      </c>
      <c r="AZ60" s="50"/>
      <c r="BB60" s="294">
        <f>_xlfn.BINOM.DIST(770,1000,0.77,FALSE)</f>
        <v>2.9966265421372294E-2</v>
      </c>
    </row>
    <row r="61" spans="1:54" x14ac:dyDescent="0.25">
      <c r="A61" s="1"/>
      <c r="B61" s="1">
        <f t="shared" si="7"/>
        <v>9</v>
      </c>
      <c r="C61">
        <f t="shared" ref="C61:C83" si="9">_xlfn.BINOM.DIST(B61,$A$52,$C$52,FALSE)</f>
        <v>2.4869121261872281E-4</v>
      </c>
      <c r="D61">
        <f t="shared" si="2"/>
        <v>8.4916248527321478E-2</v>
      </c>
      <c r="E61">
        <f t="shared" si="3"/>
        <v>0.1386499841430939</v>
      </c>
      <c r="H61">
        <f t="shared" si="4"/>
        <v>2.4869121261872357E-4</v>
      </c>
      <c r="U61" s="1"/>
      <c r="V61" s="1">
        <f t="shared" si="8"/>
        <v>8</v>
      </c>
      <c r="W61">
        <f t="shared" si="5"/>
        <v>0</v>
      </c>
      <c r="AO61" s="51">
        <v>7</v>
      </c>
      <c r="AP61" s="62">
        <v>0</v>
      </c>
      <c r="AQ61" s="65">
        <f>_xlfn.BINOM.DIST($AP61,$AO$61,AQ$53,FALSE)</f>
        <v>0.47829689999999997</v>
      </c>
      <c r="AR61" s="66">
        <f t="shared" ref="AR61:AY68" si="10">_xlfn.BINOM.DIST($AP61,$AO$61,AR$53,FALSE)</f>
        <v>0.20971519999999996</v>
      </c>
      <c r="AS61" s="66">
        <f t="shared" si="10"/>
        <v>8.2354299999999964E-2</v>
      </c>
      <c r="AT61" s="66">
        <f t="shared" si="10"/>
        <v>2.7993599999999987E-2</v>
      </c>
      <c r="AU61" s="66">
        <f t="shared" si="10"/>
        <v>7.8125000000000017E-3</v>
      </c>
      <c r="AV61" s="66">
        <f t="shared" si="10"/>
        <v>1.638400000000001E-3</v>
      </c>
      <c r="AW61" s="66">
        <f t="shared" si="10"/>
        <v>2.1870000000000014E-4</v>
      </c>
      <c r="AX61" s="66">
        <f t="shared" si="10"/>
        <v>1.2800000000000023E-5</v>
      </c>
      <c r="AY61" s="67">
        <f t="shared" si="10"/>
        <v>1.0000000000000029E-7</v>
      </c>
      <c r="AZ61" s="50"/>
    </row>
    <row r="62" spans="1:54" x14ac:dyDescent="0.25">
      <c r="A62" s="1"/>
      <c r="B62" s="1">
        <f t="shared" si="7"/>
        <v>10</v>
      </c>
      <c r="C62">
        <f t="shared" si="9"/>
        <v>7.7094275911804278E-4</v>
      </c>
      <c r="D62">
        <f t="shared" si="2"/>
        <v>0.11281730161486998</v>
      </c>
      <c r="E62">
        <f t="shared" si="3"/>
        <v>0.10745373771089774</v>
      </c>
      <c r="H62">
        <f t="shared" si="4"/>
        <v>7.7094275911804299E-4</v>
      </c>
      <c r="U62" s="1"/>
      <c r="V62" s="1">
        <f t="shared" si="8"/>
        <v>9</v>
      </c>
      <c r="W62">
        <f>_xlfn.BINOM.DIST(V62,$U$53,$N$53,FALSE)</f>
        <v>0</v>
      </c>
      <c r="AO62" s="53"/>
      <c r="AP62" s="63">
        <v>1</v>
      </c>
      <c r="AQ62" s="68">
        <f t="shared" ref="AQ62:AQ68" si="11">_xlfn.BINOM.DIST($AP62,$AO$61,AQ$53,FALSE)</f>
        <v>0.37200870000000003</v>
      </c>
      <c r="AR62" s="69">
        <f t="shared" si="10"/>
        <v>0.36700159999999993</v>
      </c>
      <c r="AS62" s="69">
        <f t="shared" si="10"/>
        <v>0.24706289999999986</v>
      </c>
      <c r="AT62" s="69">
        <f t="shared" si="10"/>
        <v>0.13063680000000003</v>
      </c>
      <c r="AU62" s="69">
        <f t="shared" si="10"/>
        <v>5.4687500000000049E-2</v>
      </c>
      <c r="AV62" s="69">
        <f t="shared" si="10"/>
        <v>1.7203199999999991E-2</v>
      </c>
      <c r="AW62" s="69">
        <f t="shared" si="10"/>
        <v>3.5721000000000056E-3</v>
      </c>
      <c r="AX62" s="69">
        <f t="shared" si="10"/>
        <v>3.5840000000000074E-4</v>
      </c>
      <c r="AY62" s="70">
        <f t="shared" si="10"/>
        <v>6.3000000000000235E-6</v>
      </c>
      <c r="AZ62" s="50"/>
    </row>
    <row r="63" spans="1:54" x14ac:dyDescent="0.25">
      <c r="A63" s="1"/>
      <c r="B63" s="1">
        <f t="shared" si="7"/>
        <v>11</v>
      </c>
      <c r="C63">
        <f t="shared" si="9"/>
        <v>2.1025711612310239E-3</v>
      </c>
      <c r="D63">
        <f t="shared" si="2"/>
        <v>0.131864378510887</v>
      </c>
      <c r="E63">
        <f t="shared" si="3"/>
        <v>7.32639120756121E-2</v>
      </c>
      <c r="H63">
        <f t="shared" si="4"/>
        <v>2.1025711612310274E-3</v>
      </c>
      <c r="U63" s="1"/>
      <c r="V63" s="1">
        <f t="shared" si="8"/>
        <v>10</v>
      </c>
      <c r="W63">
        <f>_xlfn.BINOM.DIST(V63,$U$53,$N$53,FALSE)</f>
        <v>0</v>
      </c>
      <c r="AO63" s="53"/>
      <c r="AP63" s="63">
        <v>2</v>
      </c>
      <c r="AQ63" s="68">
        <f t="shared" si="11"/>
        <v>0.12400290000000001</v>
      </c>
      <c r="AR63" s="69">
        <f t="shared" si="10"/>
        <v>0.27525120000000008</v>
      </c>
      <c r="AS63" s="69">
        <f t="shared" si="10"/>
        <v>0.31765230000000005</v>
      </c>
      <c r="AT63" s="69">
        <f t="shared" si="10"/>
        <v>0.26127359999999999</v>
      </c>
      <c r="AU63" s="69">
        <f t="shared" si="10"/>
        <v>0.16406250000000006</v>
      </c>
      <c r="AV63" s="69">
        <f t="shared" si="10"/>
        <v>7.7414400000000008E-2</v>
      </c>
      <c r="AW63" s="69">
        <f t="shared" si="10"/>
        <v>2.5004700000000043E-2</v>
      </c>
      <c r="AX63" s="69">
        <f t="shared" si="10"/>
        <v>4.3008000000000031E-3</v>
      </c>
      <c r="AY63" s="70">
        <f t="shared" si="10"/>
        <v>1.7010000000000077E-4</v>
      </c>
      <c r="AZ63" s="50"/>
    </row>
    <row r="64" spans="1:54" x14ac:dyDescent="0.25">
      <c r="A64" s="1"/>
      <c r="B64" s="1">
        <f t="shared" si="7"/>
        <v>12</v>
      </c>
      <c r="C64">
        <f t="shared" si="9"/>
        <v>5.0812136396416489E-3</v>
      </c>
      <c r="D64">
        <f t="shared" si="2"/>
        <v>0.13657382060056153</v>
      </c>
      <c r="E64">
        <f t="shared" si="3"/>
        <v>4.4263613545682354E-2</v>
      </c>
      <c r="H64">
        <f t="shared" si="4"/>
        <v>5.0812136396416489E-3</v>
      </c>
      <c r="U64" s="1"/>
      <c r="V64" s="1">
        <f t="shared" si="8"/>
        <v>11</v>
      </c>
      <c r="W64">
        <f>_xlfn.BINOM.DIST(V64,$U$53,$N$53,FALSE)</f>
        <v>0</v>
      </c>
      <c r="AO64" s="53"/>
      <c r="AP64" s="63">
        <v>3</v>
      </c>
      <c r="AQ64" s="68">
        <f t="shared" si="11"/>
        <v>2.2963500000000019E-2</v>
      </c>
      <c r="AR64" s="69">
        <f t="shared" si="10"/>
        <v>0.11468799999999998</v>
      </c>
      <c r="AS64" s="69">
        <f t="shared" si="10"/>
        <v>0.22689450000000005</v>
      </c>
      <c r="AT64" s="69">
        <f t="shared" si="10"/>
        <v>0.29030400000000001</v>
      </c>
      <c r="AU64" s="69">
        <f t="shared" si="10"/>
        <v>0.2734375</v>
      </c>
      <c r="AV64" s="69">
        <f t="shared" si="10"/>
        <v>0.19353600000000004</v>
      </c>
      <c r="AW64" s="69">
        <f t="shared" si="10"/>
        <v>9.7240500000000105E-2</v>
      </c>
      <c r="AX64" s="69">
        <f t="shared" si="10"/>
        <v>2.8672000000000034E-2</v>
      </c>
      <c r="AY64" s="70">
        <f t="shared" si="10"/>
        <v>2.5515000000000086E-3</v>
      </c>
      <c r="AZ64" s="50"/>
    </row>
    <row r="65" spans="1:52" x14ac:dyDescent="0.25">
      <c r="A65" s="1"/>
      <c r="B65" s="1">
        <f t="shared" si="7"/>
        <v>13</v>
      </c>
      <c r="C65">
        <f t="shared" si="9"/>
        <v>1.094415245461278E-2</v>
      </c>
      <c r="D65">
        <f t="shared" si="2"/>
        <v>0.12606814209282602</v>
      </c>
      <c r="E65">
        <f t="shared" si="3"/>
        <v>2.3834253447675074E-2</v>
      </c>
      <c r="H65">
        <f t="shared" si="4"/>
        <v>1.094415245461278E-2</v>
      </c>
      <c r="AO65" s="53"/>
      <c r="AP65" s="63">
        <v>4</v>
      </c>
      <c r="AQ65" s="68">
        <f t="shared" si="11"/>
        <v>2.5515000000000017E-3</v>
      </c>
      <c r="AR65" s="69">
        <f t="shared" si="10"/>
        <v>2.8671999999999986E-2</v>
      </c>
      <c r="AS65" s="69">
        <f t="shared" si="10"/>
        <v>9.7240500000000105E-2</v>
      </c>
      <c r="AT65" s="69">
        <f t="shared" si="10"/>
        <v>0.19353600000000001</v>
      </c>
      <c r="AU65" s="69">
        <f t="shared" si="10"/>
        <v>0.2734375</v>
      </c>
      <c r="AV65" s="69">
        <f t="shared" si="10"/>
        <v>0.29030400000000001</v>
      </c>
      <c r="AW65" s="69">
        <f t="shared" si="10"/>
        <v>0.22689450000000005</v>
      </c>
      <c r="AX65" s="69">
        <f t="shared" si="10"/>
        <v>0.11468800000000005</v>
      </c>
      <c r="AY65" s="70">
        <f t="shared" si="10"/>
        <v>2.296350000000005E-2</v>
      </c>
      <c r="AZ65" s="50"/>
    </row>
    <row r="66" spans="1:52" x14ac:dyDescent="0.25">
      <c r="A66" s="1"/>
      <c r="B66" s="1">
        <f t="shared" si="7"/>
        <v>14</v>
      </c>
      <c r="C66">
        <f t="shared" si="9"/>
        <v>2.1106579733896052E-2</v>
      </c>
      <c r="D66">
        <f t="shared" si="2"/>
        <v>0.10419917866856032</v>
      </c>
      <c r="E66">
        <f t="shared" si="3"/>
        <v>1.1491515055129058E-2</v>
      </c>
      <c r="F66">
        <f t="shared" ref="F66:F81" si="12">_xlfn.BINOM.DIST(B66,50,$C$52,FALSE)</f>
        <v>8.3297427293515961E-4</v>
      </c>
      <c r="H66">
        <f t="shared" si="4"/>
        <v>2.1106579733896073E-2</v>
      </c>
      <c r="AO66" s="53"/>
      <c r="AP66" s="63">
        <v>5</v>
      </c>
      <c r="AQ66" s="68">
        <f t="shared" si="11"/>
        <v>1.7010000000000018E-4</v>
      </c>
      <c r="AR66" s="69">
        <f t="shared" si="10"/>
        <v>4.3007999999999996E-3</v>
      </c>
      <c r="AS66" s="69">
        <f t="shared" si="10"/>
        <v>2.5004700000000043E-2</v>
      </c>
      <c r="AT66" s="69">
        <f t="shared" si="10"/>
        <v>7.7414400000000008E-2</v>
      </c>
      <c r="AU66" s="69">
        <f t="shared" si="10"/>
        <v>0.16406250000000008</v>
      </c>
      <c r="AV66" s="69">
        <f t="shared" si="10"/>
        <v>0.26127359999999999</v>
      </c>
      <c r="AW66" s="69">
        <f t="shared" si="10"/>
        <v>0.31765230000000005</v>
      </c>
      <c r="AX66" s="69">
        <f t="shared" si="10"/>
        <v>0.27525120000000014</v>
      </c>
      <c r="AY66" s="70">
        <f t="shared" si="10"/>
        <v>0.12400290000000021</v>
      </c>
      <c r="AZ66" s="50"/>
    </row>
    <row r="67" spans="1:52" x14ac:dyDescent="0.25">
      <c r="A67" s="1"/>
      <c r="B67" s="1">
        <f t="shared" si="7"/>
        <v>15</v>
      </c>
      <c r="C67">
        <f t="shared" si="9"/>
        <v>3.6584738205419853E-2</v>
      </c>
      <c r="D67">
        <f t="shared" si="2"/>
        <v>7.7405104153787624E-2</v>
      </c>
      <c r="E67">
        <f t="shared" si="3"/>
        <v>4.9796565238892695E-3</v>
      </c>
      <c r="F67">
        <f t="shared" si="12"/>
        <v>1.9991382550443907E-3</v>
      </c>
      <c r="H67">
        <f t="shared" si="4"/>
        <v>3.6584738205419867E-2</v>
      </c>
      <c r="AO67" s="53"/>
      <c r="AP67" s="63">
        <v>6</v>
      </c>
      <c r="AQ67" s="68">
        <f t="shared" si="11"/>
        <v>6.3000000000000117E-6</v>
      </c>
      <c r="AR67" s="69">
        <f t="shared" si="10"/>
        <v>3.5840000000000042E-4</v>
      </c>
      <c r="AS67" s="69">
        <f t="shared" si="10"/>
        <v>3.5721000000000056E-3</v>
      </c>
      <c r="AT67" s="69">
        <f t="shared" si="10"/>
        <v>1.7203200000000002E-2</v>
      </c>
      <c r="AU67" s="69">
        <f t="shared" si="10"/>
        <v>5.4687500000000049E-2</v>
      </c>
      <c r="AV67" s="69">
        <f t="shared" si="10"/>
        <v>0.1306368</v>
      </c>
      <c r="AW67" s="69">
        <f t="shared" si="10"/>
        <v>0.24706289999999989</v>
      </c>
      <c r="AX67" s="69">
        <f t="shared" si="10"/>
        <v>0.36700159999999993</v>
      </c>
      <c r="AY67" s="70">
        <f t="shared" si="10"/>
        <v>0.37200870000000008</v>
      </c>
      <c r="AZ67" s="50"/>
    </row>
    <row r="68" spans="1:52" x14ac:dyDescent="0.25">
      <c r="A68" s="1"/>
      <c r="B68" s="1">
        <f t="shared" si="7"/>
        <v>16</v>
      </c>
      <c r="C68">
        <f t="shared" si="9"/>
        <v>5.7163653445968521E-2</v>
      </c>
      <c r="D68">
        <f t="shared" si="2"/>
        <v>5.1833775102982801E-2</v>
      </c>
      <c r="E68">
        <f t="shared" si="3"/>
        <v>1.9451783296442428E-3</v>
      </c>
      <c r="F68">
        <f t="shared" si="12"/>
        <v>4.3731149329095925E-3</v>
      </c>
      <c r="H68">
        <f t="shared" si="4"/>
        <v>5.7163653445968542E-2</v>
      </c>
      <c r="AO68" s="55"/>
      <c r="AP68" s="64">
        <v>7</v>
      </c>
      <c r="AQ68" s="71">
        <f t="shared" si="11"/>
        <v>1.0000000000000029E-7</v>
      </c>
      <c r="AR68" s="72">
        <f t="shared" si="10"/>
        <v>1.2799999999999999E-5</v>
      </c>
      <c r="AS68" s="72">
        <f t="shared" si="10"/>
        <v>2.1870000000000014E-4</v>
      </c>
      <c r="AT68" s="72">
        <f t="shared" si="10"/>
        <v>1.638400000000001E-3</v>
      </c>
      <c r="AU68" s="72">
        <f t="shared" si="10"/>
        <v>7.8125000000000017E-3</v>
      </c>
      <c r="AV68" s="72">
        <f t="shared" si="10"/>
        <v>2.7993599999999987E-2</v>
      </c>
      <c r="AW68" s="72">
        <f t="shared" si="10"/>
        <v>8.2354299999999964E-2</v>
      </c>
      <c r="AX68" s="72">
        <f t="shared" si="10"/>
        <v>0.20971519999999988</v>
      </c>
      <c r="AY68" s="73">
        <f t="shared" si="10"/>
        <v>0.47829689999999969</v>
      </c>
      <c r="AZ68" s="50"/>
    </row>
    <row r="69" spans="1:52" x14ac:dyDescent="0.25">
      <c r="A69" s="1"/>
      <c r="B69" s="1">
        <f t="shared" si="7"/>
        <v>17</v>
      </c>
      <c r="C69">
        <f t="shared" si="9"/>
        <v>8.07016283943085E-2</v>
      </c>
      <c r="D69">
        <f t="shared" si="2"/>
        <v>3.1361611827014801E-2</v>
      </c>
      <c r="E69">
        <f t="shared" si="3"/>
        <v>6.8653352810973142E-4</v>
      </c>
      <c r="F69">
        <f t="shared" si="12"/>
        <v>8.7462298658191901E-3</v>
      </c>
      <c r="H69">
        <f t="shared" si="4"/>
        <v>8.0701628394308528E-2</v>
      </c>
      <c r="AO69" s="51">
        <v>8</v>
      </c>
      <c r="AP69" s="62">
        <v>0</v>
      </c>
      <c r="AQ69" s="68">
        <f t="shared" ref="AQ69:AY77" si="13">_xlfn.BINOM.DIST($AP69,$AO$69,AQ$53,FALSE)</f>
        <v>0.43046720999999999</v>
      </c>
      <c r="AR69" s="69">
        <f t="shared" si="13"/>
        <v>0.16777215999999998</v>
      </c>
      <c r="AS69" s="69">
        <f t="shared" si="13"/>
        <v>5.7648009999999972E-2</v>
      </c>
      <c r="AT69" s="69">
        <f t="shared" si="13"/>
        <v>1.6796159999999994E-2</v>
      </c>
      <c r="AU69" s="69">
        <f t="shared" si="13"/>
        <v>3.9062500000000009E-3</v>
      </c>
      <c r="AV69" s="69">
        <f t="shared" si="13"/>
        <v>6.5536000000000034E-4</v>
      </c>
      <c r="AW69" s="69">
        <f t="shared" si="13"/>
        <v>6.5610000000000044E-5</v>
      </c>
      <c r="AX69" s="69">
        <f t="shared" si="13"/>
        <v>2.5600000000000064E-6</v>
      </c>
      <c r="AY69" s="70">
        <f t="shared" si="13"/>
        <v>1.0000000000000053E-8</v>
      </c>
      <c r="AZ69" s="50"/>
    </row>
    <row r="70" spans="1:52" x14ac:dyDescent="0.25">
      <c r="A70" s="1"/>
      <c r="B70" s="1">
        <f t="shared" si="7"/>
        <v>18</v>
      </c>
      <c r="C70">
        <f t="shared" si="9"/>
        <v>0.10311874739272751</v>
      </c>
      <c r="D70">
        <f t="shared" si="2"/>
        <v>1.7174216000508107E-2</v>
      </c>
      <c r="F70">
        <f t="shared" si="12"/>
        <v>1.6034754754001845E-2</v>
      </c>
      <c r="H70">
        <f t="shared" si="4"/>
        <v>0.10311874739272756</v>
      </c>
      <c r="AO70" s="53"/>
      <c r="AP70" s="63">
        <v>1</v>
      </c>
      <c r="AQ70" s="68">
        <f t="shared" si="13"/>
        <v>0.38263752000000001</v>
      </c>
      <c r="AR70" s="69">
        <f t="shared" si="13"/>
        <v>0.33554432000000001</v>
      </c>
      <c r="AS70" s="69">
        <f t="shared" si="13"/>
        <v>0.19765031999999988</v>
      </c>
      <c r="AT70" s="69">
        <f t="shared" si="13"/>
        <v>8.957952000000001E-2</v>
      </c>
      <c r="AU70" s="69">
        <f t="shared" si="13"/>
        <v>3.1249999999999993E-2</v>
      </c>
      <c r="AV70" s="69">
        <f t="shared" si="13"/>
        <v>7.8643199999999993E-3</v>
      </c>
      <c r="AW70" s="69">
        <f t="shared" si="13"/>
        <v>1.2247200000000023E-3</v>
      </c>
      <c r="AX70" s="69">
        <f t="shared" si="13"/>
        <v>8.1920000000000327E-5</v>
      </c>
      <c r="AY70" s="70">
        <f t="shared" si="13"/>
        <v>7.2000000000000401E-7</v>
      </c>
      <c r="AZ70" s="50"/>
    </row>
    <row r="71" spans="1:52" x14ac:dyDescent="0.25">
      <c r="A71" s="1"/>
      <c r="B71" s="1">
        <f t="shared" si="7"/>
        <v>19</v>
      </c>
      <c r="C71">
        <f t="shared" si="9"/>
        <v>0.11940065487578974</v>
      </c>
      <c r="D71">
        <f t="shared" si="2"/>
        <v>8.5225432784476283E-3</v>
      </c>
      <c r="F71">
        <f t="shared" si="12"/>
        <v>2.7005902743582024E-2</v>
      </c>
      <c r="H71">
        <f t="shared" si="4"/>
        <v>0.1194006548757898</v>
      </c>
      <c r="AO71" s="53"/>
      <c r="AP71" s="63">
        <v>2</v>
      </c>
      <c r="AQ71" s="68">
        <f t="shared" si="13"/>
        <v>0.14880347999999999</v>
      </c>
      <c r="AR71" s="69">
        <f t="shared" si="13"/>
        <v>0.29360128000000002</v>
      </c>
      <c r="AS71" s="69">
        <f t="shared" si="13"/>
        <v>0.29647547999999996</v>
      </c>
      <c r="AT71" s="69">
        <f t="shared" si="13"/>
        <v>0.20901887999999993</v>
      </c>
      <c r="AU71" s="69">
        <f t="shared" si="13"/>
        <v>0.10937500000000006</v>
      </c>
      <c r="AV71" s="69">
        <f t="shared" si="13"/>
        <v>4.1287680000000021E-2</v>
      </c>
      <c r="AW71" s="69">
        <f t="shared" si="13"/>
        <v>1.0001880000000017E-2</v>
      </c>
      <c r="AX71" s="69">
        <f t="shared" si="13"/>
        <v>1.1468800000000027E-3</v>
      </c>
      <c r="AY71" s="70">
        <f t="shared" si="13"/>
        <v>2.2680000000000098E-5</v>
      </c>
      <c r="AZ71" s="50"/>
    </row>
    <row r="72" spans="1:52" x14ac:dyDescent="0.25">
      <c r="A72" s="1"/>
      <c r="B72" s="1">
        <f t="shared" si="7"/>
        <v>20</v>
      </c>
      <c r="C72">
        <f t="shared" si="9"/>
        <v>0.12537068761957929</v>
      </c>
      <c r="D72">
        <f t="shared" si="2"/>
        <v>3.8351444753014362E-3</v>
      </c>
      <c r="F72">
        <f t="shared" si="12"/>
        <v>4.1859149252552186E-2</v>
      </c>
      <c r="H72">
        <f t="shared" si="4"/>
        <v>0.12537068761957929</v>
      </c>
      <c r="AO72" s="53"/>
      <c r="AP72" s="63">
        <v>3</v>
      </c>
      <c r="AQ72" s="68">
        <f t="shared" si="13"/>
        <v>3.306744000000001E-2</v>
      </c>
      <c r="AR72" s="69">
        <f t="shared" si="13"/>
        <v>0.14680063999999998</v>
      </c>
      <c r="AS72" s="69">
        <f t="shared" si="13"/>
        <v>0.25412184000000004</v>
      </c>
      <c r="AT72" s="69">
        <f t="shared" si="13"/>
        <v>0.27869184000000002</v>
      </c>
      <c r="AU72" s="69">
        <f t="shared" si="13"/>
        <v>0.21875</v>
      </c>
      <c r="AV72" s="69">
        <f t="shared" si="13"/>
        <v>0.12386303999999998</v>
      </c>
      <c r="AW72" s="69">
        <f t="shared" si="13"/>
        <v>4.6675440000000033E-2</v>
      </c>
      <c r="AX72" s="69">
        <f t="shared" si="13"/>
        <v>9.1750400000000024E-3</v>
      </c>
      <c r="AY72" s="70">
        <f t="shared" si="13"/>
        <v>4.0824000000000182E-4</v>
      </c>
      <c r="AZ72" s="50"/>
    </row>
    <row r="73" spans="1:52" x14ac:dyDescent="0.25">
      <c r="A73" s="1"/>
      <c r="B73" s="1">
        <f t="shared" si="7"/>
        <v>21</v>
      </c>
      <c r="C73">
        <f t="shared" si="9"/>
        <v>0.11940065487578974</v>
      </c>
      <c r="D73">
        <f t="shared" si="2"/>
        <v>1.5653650919597718E-3</v>
      </c>
      <c r="F73">
        <f t="shared" si="12"/>
        <v>5.9798784646503088E-2</v>
      </c>
      <c r="H73">
        <f t="shared" si="4"/>
        <v>0.1194006548757898</v>
      </c>
      <c r="AO73" s="53"/>
      <c r="AP73" s="63">
        <v>4</v>
      </c>
      <c r="AQ73" s="68">
        <f t="shared" si="13"/>
        <v>4.5927000000000025E-3</v>
      </c>
      <c r="AR73" s="69">
        <f t="shared" si="13"/>
        <v>4.5875199999999984E-2</v>
      </c>
      <c r="AS73" s="69">
        <f t="shared" si="13"/>
        <v>0.1361367</v>
      </c>
      <c r="AT73" s="69">
        <f t="shared" si="13"/>
        <v>0.23224320000000001</v>
      </c>
      <c r="AU73" s="69">
        <f t="shared" si="13"/>
        <v>0.27343750000000006</v>
      </c>
      <c r="AV73" s="69">
        <f t="shared" si="13"/>
        <v>0.23224320000000001</v>
      </c>
      <c r="AW73" s="69">
        <f t="shared" si="13"/>
        <v>0.1361367</v>
      </c>
      <c r="AX73" s="69">
        <f t="shared" si="13"/>
        <v>4.5875200000000074E-2</v>
      </c>
      <c r="AY73" s="70">
        <f t="shared" si="13"/>
        <v>4.592700000000019E-3</v>
      </c>
      <c r="AZ73" s="50"/>
    </row>
    <row r="74" spans="1:52" x14ac:dyDescent="0.25">
      <c r="A74" s="1"/>
      <c r="B74" s="1">
        <f t="shared" si="7"/>
        <v>22</v>
      </c>
      <c r="C74">
        <f t="shared" si="9"/>
        <v>0.10311874739272751</v>
      </c>
      <c r="D74">
        <f t="shared" si="2"/>
        <v>5.7938837819290171E-4</v>
      </c>
      <c r="F74">
        <f t="shared" si="12"/>
        <v>7.882567067039048E-2</v>
      </c>
      <c r="H74">
        <f t="shared" si="4"/>
        <v>0.10311874739272756</v>
      </c>
      <c r="AO74" s="53"/>
      <c r="AP74" s="63">
        <v>5</v>
      </c>
      <c r="AQ74" s="68">
        <f t="shared" si="13"/>
        <v>4.0823999999999966E-4</v>
      </c>
      <c r="AR74" s="69">
        <f t="shared" si="13"/>
        <v>9.1750399999999989E-3</v>
      </c>
      <c r="AS74" s="69">
        <f t="shared" si="13"/>
        <v>4.6675440000000033E-2</v>
      </c>
      <c r="AT74" s="69">
        <f t="shared" si="13"/>
        <v>0.12386303999999998</v>
      </c>
      <c r="AU74" s="69">
        <f t="shared" si="13"/>
        <v>0.21875</v>
      </c>
      <c r="AV74" s="69">
        <f t="shared" si="13"/>
        <v>0.27869184000000002</v>
      </c>
      <c r="AW74" s="69">
        <f t="shared" si="13"/>
        <v>0.25412184000000004</v>
      </c>
      <c r="AX74" s="69">
        <f t="shared" si="13"/>
        <v>0.14680064000000009</v>
      </c>
      <c r="AY74" s="70">
        <f t="shared" si="13"/>
        <v>3.3067440000000066E-2</v>
      </c>
      <c r="AZ74" s="50"/>
    </row>
    <row r="75" spans="1:52" x14ac:dyDescent="0.25">
      <c r="A75" s="1"/>
      <c r="B75" s="1">
        <f t="shared" si="7"/>
        <v>23</v>
      </c>
      <c r="C75">
        <f t="shared" si="9"/>
        <v>8.07016283943085E-2</v>
      </c>
      <c r="F75">
        <f t="shared" si="12"/>
        <v>9.5961686033518831E-2</v>
      </c>
      <c r="H75">
        <f t="shared" si="4"/>
        <v>8.0701628394308528E-2</v>
      </c>
      <c r="AO75" s="53"/>
      <c r="AP75" s="63">
        <v>6</v>
      </c>
      <c r="AQ75" s="68">
        <f t="shared" si="13"/>
        <v>2.2680000000000057E-5</v>
      </c>
      <c r="AR75" s="69">
        <f t="shared" si="13"/>
        <v>1.1468800000000005E-3</v>
      </c>
      <c r="AS75" s="69">
        <f t="shared" si="13"/>
        <v>1.0001880000000017E-2</v>
      </c>
      <c r="AT75" s="69">
        <f t="shared" si="13"/>
        <v>4.1287680000000021E-2</v>
      </c>
      <c r="AU75" s="69">
        <f t="shared" si="13"/>
        <v>0.10937500000000006</v>
      </c>
      <c r="AV75" s="69">
        <f t="shared" si="13"/>
        <v>0.20901887999999993</v>
      </c>
      <c r="AW75" s="69">
        <f t="shared" si="13"/>
        <v>0.29647547999999996</v>
      </c>
      <c r="AX75" s="69">
        <f t="shared" si="13"/>
        <v>0.29360128000000002</v>
      </c>
      <c r="AY75" s="70">
        <f t="shared" si="13"/>
        <v>0.14880348000000015</v>
      </c>
      <c r="AZ75" s="50"/>
    </row>
    <row r="76" spans="1:52" x14ac:dyDescent="0.25">
      <c r="A76" s="1"/>
      <c r="B76" s="1">
        <f t="shared" si="7"/>
        <v>24</v>
      </c>
      <c r="C76">
        <f t="shared" si="9"/>
        <v>5.7163653445968521E-2</v>
      </c>
      <c r="F76">
        <f>_xlfn.BINOM.DIST(B76,50,$C$52,FALSE)</f>
        <v>0.10795689678770866</v>
      </c>
      <c r="H76">
        <f t="shared" si="4"/>
        <v>5.7163653445968542E-2</v>
      </c>
      <c r="AO76" s="53"/>
      <c r="AP76" s="63">
        <v>7</v>
      </c>
      <c r="AQ76" s="68">
        <f t="shared" si="13"/>
        <v>7.1999999999999882E-7</v>
      </c>
      <c r="AR76" s="69">
        <f t="shared" si="13"/>
        <v>8.1920000000000042E-5</v>
      </c>
      <c r="AS76" s="69">
        <f t="shared" si="13"/>
        <v>1.2247200000000012E-3</v>
      </c>
      <c r="AT76" s="69">
        <f t="shared" si="13"/>
        <v>7.8643199999999958E-3</v>
      </c>
      <c r="AU76" s="69">
        <f t="shared" si="13"/>
        <v>3.1250000000000007E-2</v>
      </c>
      <c r="AV76" s="69">
        <f t="shared" si="13"/>
        <v>8.9579520000000037E-2</v>
      </c>
      <c r="AW76" s="69">
        <f t="shared" si="13"/>
        <v>0.19765031999999993</v>
      </c>
      <c r="AX76" s="69">
        <f t="shared" si="13"/>
        <v>0.33554431999999995</v>
      </c>
      <c r="AY76" s="70">
        <f t="shared" si="13"/>
        <v>0.38263752000000006</v>
      </c>
      <c r="AZ76" s="50"/>
    </row>
    <row r="77" spans="1:52" x14ac:dyDescent="0.25">
      <c r="A77" s="1"/>
      <c r="B77" s="1">
        <f t="shared" si="7"/>
        <v>25</v>
      </c>
      <c r="C77">
        <f t="shared" si="9"/>
        <v>3.6584738205419853E-2</v>
      </c>
      <c r="F77">
        <f t="shared" si="12"/>
        <v>0.11227517265921706</v>
      </c>
      <c r="H77">
        <f t="shared" si="4"/>
        <v>3.6584738205419867E-2</v>
      </c>
      <c r="AO77" s="55"/>
      <c r="AP77" s="64">
        <v>8</v>
      </c>
      <c r="AQ77" s="71">
        <f t="shared" si="13"/>
        <v>1.0000000000000018E-8</v>
      </c>
      <c r="AR77" s="72">
        <f t="shared" si="13"/>
        <v>2.5600000000000017E-6</v>
      </c>
      <c r="AS77" s="72">
        <f t="shared" si="13"/>
        <v>6.5610000000000044E-5</v>
      </c>
      <c r="AT77" s="72">
        <f t="shared" si="13"/>
        <v>6.5536000000000034E-4</v>
      </c>
      <c r="AU77" s="72">
        <f t="shared" si="13"/>
        <v>3.9062500000000009E-3</v>
      </c>
      <c r="AV77" s="72">
        <f t="shared" si="13"/>
        <v>1.6796159999999994E-2</v>
      </c>
      <c r="AW77" s="72">
        <f t="shared" si="13"/>
        <v>5.7648009999999972E-2</v>
      </c>
      <c r="AX77" s="72">
        <f t="shared" si="13"/>
        <v>0.16777215999999986</v>
      </c>
      <c r="AY77" s="73">
        <f t="shared" si="13"/>
        <v>0.43046720999999966</v>
      </c>
      <c r="AZ77" s="50"/>
    </row>
    <row r="78" spans="1:52" x14ac:dyDescent="0.25">
      <c r="B78" s="1">
        <f t="shared" si="7"/>
        <v>26</v>
      </c>
      <c r="C78">
        <f t="shared" si="9"/>
        <v>2.1106579733896052E-2</v>
      </c>
      <c r="F78">
        <f t="shared" si="12"/>
        <v>0.10795689678770866</v>
      </c>
      <c r="H78">
        <f t="shared" si="4"/>
        <v>2.1106579733896073E-2</v>
      </c>
      <c r="AZ78" s="50"/>
    </row>
    <row r="79" spans="1:52" x14ac:dyDescent="0.25">
      <c r="B79" s="1">
        <f t="shared" si="7"/>
        <v>27</v>
      </c>
      <c r="C79">
        <f t="shared" si="9"/>
        <v>1.094415245461278E-2</v>
      </c>
      <c r="F79">
        <f t="shared" si="12"/>
        <v>9.5961686033518831E-2</v>
      </c>
      <c r="H79">
        <f t="shared" si="4"/>
        <v>1.094415245461278E-2</v>
      </c>
      <c r="AZ79" s="50"/>
    </row>
    <row r="80" spans="1:52" x14ac:dyDescent="0.25">
      <c r="B80" s="1">
        <f t="shared" si="7"/>
        <v>28</v>
      </c>
      <c r="C80">
        <f t="shared" si="9"/>
        <v>5.0812136396416489E-3</v>
      </c>
      <c r="F80">
        <f t="shared" si="12"/>
        <v>7.882567067039048E-2</v>
      </c>
      <c r="H80">
        <f t="shared" si="4"/>
        <v>5.0812136396416489E-3</v>
      </c>
      <c r="AZ80" s="50"/>
    </row>
    <row r="81" spans="1:52" x14ac:dyDescent="0.25">
      <c r="B81" s="1">
        <f>B80+1</f>
        <v>29</v>
      </c>
      <c r="C81">
        <f t="shared" si="9"/>
        <v>2.1025711612310239E-3</v>
      </c>
      <c r="F81">
        <f t="shared" si="12"/>
        <v>5.9798784646503088E-2</v>
      </c>
      <c r="H81">
        <f t="shared" si="4"/>
        <v>2.1025711612310274E-3</v>
      </c>
      <c r="AZ81" s="50"/>
    </row>
    <row r="82" spans="1:52" x14ac:dyDescent="0.25">
      <c r="B82" s="1">
        <f t="shared" ref="B82:B90" si="14">B81+1</f>
        <v>30</v>
      </c>
      <c r="C82">
        <f t="shared" si="9"/>
        <v>7.7094275911804278E-4</v>
      </c>
      <c r="F82">
        <f t="shared" ref="F82:F88" si="15">_xlfn.BINOM.DIST(B82,50,$C$52,FALSE)</f>
        <v>4.1859149252552186E-2</v>
      </c>
      <c r="H82">
        <f t="shared" si="4"/>
        <v>7.7094275911804299E-4</v>
      </c>
      <c r="AZ82" s="50"/>
    </row>
    <row r="83" spans="1:52" x14ac:dyDescent="0.25">
      <c r="B83" s="1">
        <f t="shared" si="14"/>
        <v>31</v>
      </c>
      <c r="C83">
        <f t="shared" si="9"/>
        <v>2.4869121261872286E-4</v>
      </c>
      <c r="F83">
        <f t="shared" si="15"/>
        <v>2.7005902743582024E-2</v>
      </c>
      <c r="H83">
        <f t="shared" si="4"/>
        <v>2.4869121261872357E-4</v>
      </c>
      <c r="AZ83" s="50"/>
    </row>
    <row r="84" spans="1:52" x14ac:dyDescent="0.25">
      <c r="B84" s="1">
        <f t="shared" si="14"/>
        <v>32</v>
      </c>
      <c r="F84">
        <f t="shared" si="15"/>
        <v>1.6034754754001845E-2</v>
      </c>
      <c r="H84">
        <f t="shared" si="4"/>
        <v>6.9944403549016001E-5</v>
      </c>
    </row>
    <row r="85" spans="1:52" ht="14.25" x14ac:dyDescent="0.3">
      <c r="B85" s="1">
        <f t="shared" si="14"/>
        <v>33</v>
      </c>
      <c r="F85">
        <f t="shared" si="15"/>
        <v>8.7462298658191901E-3</v>
      </c>
      <c r="H85">
        <f t="shared" si="4"/>
        <v>1.6956219042185694E-5</v>
      </c>
      <c r="AA85" s="18" t="s">
        <v>22</v>
      </c>
      <c r="AB85" s="21">
        <v>0</v>
      </c>
      <c r="AC85" s="21">
        <f t="shared" ref="AC85:AK85" si="16">AB85+0.01</f>
        <v>0.01</v>
      </c>
      <c r="AD85" s="21">
        <f t="shared" si="16"/>
        <v>0.02</v>
      </c>
      <c r="AE85" s="21">
        <f t="shared" si="16"/>
        <v>0.03</v>
      </c>
      <c r="AF85" s="21">
        <f t="shared" si="16"/>
        <v>0.04</v>
      </c>
      <c r="AG85" s="21">
        <f t="shared" si="16"/>
        <v>0.05</v>
      </c>
      <c r="AH85" s="21">
        <f t="shared" si="16"/>
        <v>6.0000000000000005E-2</v>
      </c>
      <c r="AI85" s="21">
        <f t="shared" si="16"/>
        <v>7.0000000000000007E-2</v>
      </c>
      <c r="AJ85" s="21">
        <f t="shared" si="16"/>
        <v>0.08</v>
      </c>
      <c r="AK85" s="22">
        <f t="shared" si="16"/>
        <v>0.09</v>
      </c>
    </row>
    <row r="86" spans="1:52" x14ac:dyDescent="0.25">
      <c r="B86" s="1">
        <f t="shared" si="14"/>
        <v>34</v>
      </c>
      <c r="F86">
        <f t="shared" si="15"/>
        <v>4.3731149329095925E-3</v>
      </c>
      <c r="H86">
        <f t="shared" si="4"/>
        <v>3.4909862733911744E-6</v>
      </c>
      <c r="AA86" s="19">
        <v>0</v>
      </c>
      <c r="AB86" s="23">
        <f t="shared" ref="AB86:AK95" si="17">_xlfn.NORM.DIST($AA86+AB$85,0,1,TRUE)</f>
        <v>0.5</v>
      </c>
      <c r="AC86" s="23">
        <f t="shared" si="17"/>
        <v>0.5039893563146316</v>
      </c>
      <c r="AD86" s="23">
        <f t="shared" si="17"/>
        <v>0.50797831371690205</v>
      </c>
      <c r="AE86" s="23">
        <f t="shared" si="17"/>
        <v>0.51196647341411272</v>
      </c>
      <c r="AF86" s="23">
        <f t="shared" si="17"/>
        <v>0.51595343685283068</v>
      </c>
      <c r="AG86" s="23">
        <f t="shared" si="17"/>
        <v>0.51993880583837249</v>
      </c>
      <c r="AH86" s="23">
        <f t="shared" si="17"/>
        <v>0.52392218265410684</v>
      </c>
      <c r="AI86" s="23">
        <f t="shared" si="17"/>
        <v>0.52790317018052113</v>
      </c>
      <c r="AJ86" s="23">
        <f t="shared" si="17"/>
        <v>0.53188137201398744</v>
      </c>
      <c r="AK86" s="24">
        <f t="shared" si="17"/>
        <v>0.53585639258517204</v>
      </c>
    </row>
    <row r="87" spans="1:52" x14ac:dyDescent="0.25">
      <c r="B87" s="1">
        <f t="shared" si="14"/>
        <v>35</v>
      </c>
      <c r="F87">
        <f t="shared" si="15"/>
        <v>1.9991382550443907E-3</v>
      </c>
      <c r="H87">
        <f t="shared" si="4"/>
        <v>5.9845478972420128E-7</v>
      </c>
      <c r="AA87" s="19">
        <f t="shared" ref="AA87:AA116" si="18">AA86+0.1</f>
        <v>0.1</v>
      </c>
      <c r="AB87" s="23">
        <f t="shared" si="17"/>
        <v>0.53982783727702899</v>
      </c>
      <c r="AC87" s="23">
        <f t="shared" si="17"/>
        <v>0.54379531254231672</v>
      </c>
      <c r="AD87" s="23">
        <f t="shared" si="17"/>
        <v>0.54775842602058389</v>
      </c>
      <c r="AE87" s="23">
        <f t="shared" si="17"/>
        <v>0.55171678665456114</v>
      </c>
      <c r="AF87" s="23">
        <f t="shared" si="17"/>
        <v>0.55567000480590645</v>
      </c>
      <c r="AG87" s="23">
        <f t="shared" si="17"/>
        <v>0.5596176923702425</v>
      </c>
      <c r="AH87" s="23">
        <f t="shared" si="17"/>
        <v>0.56355946289143288</v>
      </c>
      <c r="AI87" s="23">
        <f t="shared" si="17"/>
        <v>0.56749493167503839</v>
      </c>
      <c r="AJ87" s="23">
        <f t="shared" si="17"/>
        <v>0.5714237159009008</v>
      </c>
      <c r="AK87" s="24">
        <f t="shared" si="17"/>
        <v>0.57534543473479549</v>
      </c>
    </row>
    <row r="88" spans="1:52" x14ac:dyDescent="0.25">
      <c r="B88" s="1">
        <f t="shared" si="14"/>
        <v>36</v>
      </c>
      <c r="F88">
        <f t="shared" si="15"/>
        <v>8.3297427293516015E-4</v>
      </c>
      <c r="H88">
        <f t="shared" si="4"/>
        <v>8.3118720795027912E-8</v>
      </c>
      <c r="AA88" s="19">
        <f t="shared" si="18"/>
        <v>0.2</v>
      </c>
      <c r="AB88" s="23">
        <f t="shared" si="17"/>
        <v>0.57925970943910299</v>
      </c>
      <c r="AC88" s="23">
        <f t="shared" si="17"/>
        <v>0.58316616348244232</v>
      </c>
      <c r="AD88" s="23">
        <f t="shared" si="17"/>
        <v>0.58706442264821468</v>
      </c>
      <c r="AE88" s="23">
        <f t="shared" si="17"/>
        <v>0.59095411514200591</v>
      </c>
      <c r="AF88" s="23">
        <f t="shared" si="17"/>
        <v>0.59483487169779581</v>
      </c>
      <c r="AG88" s="23">
        <f t="shared" si="17"/>
        <v>0.5987063256829237</v>
      </c>
      <c r="AH88" s="23">
        <f t="shared" si="17"/>
        <v>0.60256811320176051</v>
      </c>
      <c r="AI88" s="23">
        <f t="shared" si="17"/>
        <v>0.60641987319803947</v>
      </c>
      <c r="AJ88" s="23">
        <f t="shared" si="17"/>
        <v>0.61026124755579725</v>
      </c>
      <c r="AK88" s="24">
        <f t="shared" si="17"/>
        <v>0.61409188119887737</v>
      </c>
    </row>
    <row r="89" spans="1:52" x14ac:dyDescent="0.25">
      <c r="B89" s="1">
        <f t="shared" si="14"/>
        <v>37</v>
      </c>
      <c r="H89">
        <f t="shared" si="4"/>
        <v>8.9858076535165326E-9</v>
      </c>
      <c r="AA89" s="19">
        <f t="shared" si="18"/>
        <v>0.30000000000000004</v>
      </c>
      <c r="AB89" s="23">
        <f t="shared" si="17"/>
        <v>0.61791142218895267</v>
      </c>
      <c r="AC89" s="23">
        <f t="shared" si="17"/>
        <v>0.62171952182201928</v>
      </c>
      <c r="AD89" s="23">
        <f t="shared" si="17"/>
        <v>0.62551583472332006</v>
      </c>
      <c r="AE89" s="23">
        <f t="shared" si="17"/>
        <v>0.62930001894065357</v>
      </c>
      <c r="AF89" s="23">
        <f t="shared" si="17"/>
        <v>0.63307173603602807</v>
      </c>
      <c r="AG89" s="23">
        <f t="shared" si="17"/>
        <v>0.6368306511756191</v>
      </c>
      <c r="AH89" s="23">
        <f t="shared" si="17"/>
        <v>0.64057643321799129</v>
      </c>
      <c r="AI89" s="23">
        <f t="shared" si="17"/>
        <v>0.64430875480054683</v>
      </c>
      <c r="AJ89" s="23">
        <f t="shared" si="17"/>
        <v>0.64802729242416279</v>
      </c>
      <c r="AK89" s="24">
        <f t="shared" si="17"/>
        <v>0.65173172653598244</v>
      </c>
    </row>
    <row r="90" spans="1:52" x14ac:dyDescent="0.25">
      <c r="B90" s="1">
        <f t="shared" si="14"/>
        <v>38</v>
      </c>
      <c r="H90">
        <f t="shared" si="4"/>
        <v>7.0940586738288434E-10</v>
      </c>
      <c r="AA90" s="19">
        <f t="shared" si="18"/>
        <v>0.4</v>
      </c>
      <c r="AB90" s="23">
        <f t="shared" si="17"/>
        <v>0.65542174161032429</v>
      </c>
      <c r="AC90" s="23">
        <f t="shared" si="17"/>
        <v>0.65909702622767741</v>
      </c>
      <c r="AD90" s="23">
        <f t="shared" si="17"/>
        <v>0.66275727315175059</v>
      </c>
      <c r="AE90" s="23">
        <f t="shared" si="17"/>
        <v>0.66640217940454238</v>
      </c>
      <c r="AF90" s="23">
        <f t="shared" si="17"/>
        <v>0.67003144633940637</v>
      </c>
      <c r="AG90" s="23">
        <f t="shared" si="17"/>
        <v>0.67364477971208003</v>
      </c>
      <c r="AH90" s="23">
        <f t="shared" si="17"/>
        <v>0.67724188974965227</v>
      </c>
      <c r="AI90" s="23">
        <f t="shared" si="17"/>
        <v>0.6808224912174442</v>
      </c>
      <c r="AJ90" s="23">
        <f t="shared" si="17"/>
        <v>0.68438630348377749</v>
      </c>
      <c r="AK90" s="24">
        <f t="shared" si="17"/>
        <v>0.68793305058260945</v>
      </c>
    </row>
    <row r="91" spans="1:52" x14ac:dyDescent="0.25">
      <c r="B91" s="1"/>
      <c r="AA91" s="19">
        <f t="shared" si="18"/>
        <v>0.5</v>
      </c>
      <c r="AB91" s="23">
        <f t="shared" si="17"/>
        <v>0.69146246127401312</v>
      </c>
      <c r="AC91" s="23">
        <f t="shared" si="17"/>
        <v>0.69497426910248061</v>
      </c>
      <c r="AD91" s="23">
        <f t="shared" si="17"/>
        <v>0.69846821245303381</v>
      </c>
      <c r="AE91" s="23">
        <f t="shared" si="17"/>
        <v>0.70194403460512356</v>
      </c>
      <c r="AF91" s="23">
        <f t="shared" si="17"/>
        <v>0.70540148378430201</v>
      </c>
      <c r="AG91" s="23">
        <f t="shared" si="17"/>
        <v>0.70884031321165364</v>
      </c>
      <c r="AH91" s="23">
        <f t="shared" si="17"/>
        <v>0.71226028115097295</v>
      </c>
      <c r="AI91" s="23">
        <f t="shared" si="17"/>
        <v>0.71566115095367588</v>
      </c>
      <c r="AJ91" s="23">
        <f t="shared" si="17"/>
        <v>0.7190426911014357</v>
      </c>
      <c r="AK91" s="24">
        <f t="shared" si="17"/>
        <v>0.72240467524653507</v>
      </c>
    </row>
    <row r="92" spans="1:52" x14ac:dyDescent="0.25">
      <c r="B92" s="1"/>
      <c r="E92" t="s">
        <v>21</v>
      </c>
      <c r="AA92" s="19">
        <f t="shared" si="18"/>
        <v>0.6</v>
      </c>
      <c r="AB92" s="23">
        <f t="shared" si="17"/>
        <v>0.72574688224992645</v>
      </c>
      <c r="AC92" s="23">
        <f t="shared" si="17"/>
        <v>0.72906909621699434</v>
      </c>
      <c r="AD92" s="23">
        <f t="shared" si="17"/>
        <v>0.732371106531017</v>
      </c>
      <c r="AE92" s="23">
        <f t="shared" si="17"/>
        <v>0.73565270788432247</v>
      </c>
      <c r="AF92" s="23">
        <f t="shared" si="17"/>
        <v>0.73891370030713843</v>
      </c>
      <c r="AG92" s="23">
        <f t="shared" si="17"/>
        <v>0.74215388919413527</v>
      </c>
      <c r="AH92" s="23">
        <f t="shared" si="17"/>
        <v>0.74537308532866398</v>
      </c>
      <c r="AI92" s="23">
        <f t="shared" si="17"/>
        <v>0.74857110490468992</v>
      </c>
      <c r="AJ92" s="23">
        <f t="shared" si="17"/>
        <v>0.75174776954642952</v>
      </c>
      <c r="AK92" s="24">
        <f t="shared" si="17"/>
        <v>0.75490290632569057</v>
      </c>
    </row>
    <row r="93" spans="1:52" x14ac:dyDescent="0.25">
      <c r="A93" t="s">
        <v>20</v>
      </c>
      <c r="B93" s="1"/>
      <c r="G93" t="s">
        <v>25</v>
      </c>
      <c r="AA93" s="19">
        <f t="shared" si="18"/>
        <v>0.7</v>
      </c>
      <c r="AB93" s="23">
        <f t="shared" si="17"/>
        <v>0.75803634777692697</v>
      </c>
      <c r="AC93" s="23">
        <f t="shared" si="17"/>
        <v>0.76114793191001329</v>
      </c>
      <c r="AD93" s="23">
        <f t="shared" si="17"/>
        <v>0.76423750222074882</v>
      </c>
      <c r="AE93" s="23">
        <f t="shared" si="17"/>
        <v>0.76730490769910253</v>
      </c>
      <c r="AF93" s="23">
        <f t="shared" si="17"/>
        <v>0.77035000283520938</v>
      </c>
      <c r="AG93" s="23">
        <f t="shared" si="17"/>
        <v>0.77337264762313174</v>
      </c>
      <c r="AH93" s="23">
        <f t="shared" si="17"/>
        <v>0.77637270756240062</v>
      </c>
      <c r="AI93" s="23">
        <f t="shared" si="17"/>
        <v>0.77935005365735044</v>
      </c>
      <c r="AJ93" s="23">
        <f t="shared" si="17"/>
        <v>0.78230456241426682</v>
      </c>
      <c r="AK93" s="24">
        <f t="shared" si="17"/>
        <v>0.78523611583636277</v>
      </c>
    </row>
    <row r="94" spans="1:52" x14ac:dyDescent="0.25">
      <c r="A94">
        <v>0.1</v>
      </c>
      <c r="B94" s="2">
        <v>-4</v>
      </c>
      <c r="C94" s="2">
        <f>_xlfn.NORM.DIST(B94,0,1,FALSE)</f>
        <v>1.3383022576488537E-4</v>
      </c>
      <c r="D94" s="2">
        <f>_xlfn.NORM.DIST(B94,0,0.5,FALSE)</f>
        <v>1.0104542167073785E-14</v>
      </c>
      <c r="E94" s="2"/>
      <c r="F94" s="2">
        <f>_xlfn.NORM.DIST(B94,0,2,FALSE)</f>
        <v>2.6995483256594031E-2</v>
      </c>
      <c r="G94" s="29">
        <f>_xlfn.NORM.DIST(B94,0,1,TRUE)</f>
        <v>3.1671241833119857E-5</v>
      </c>
      <c r="H94">
        <v>1</v>
      </c>
      <c r="I94" s="2">
        <v>30</v>
      </c>
      <c r="J94" s="2">
        <f>_xlfn.NORM.DIST(I94,60,10,FALSE)</f>
        <v>4.4318484119380076E-4</v>
      </c>
      <c r="AA94" s="19">
        <f t="shared" si="18"/>
        <v>0.79999999999999993</v>
      </c>
      <c r="AB94" s="23">
        <f t="shared" si="17"/>
        <v>0.78814460141660336</v>
      </c>
      <c r="AC94" s="23">
        <f t="shared" si="17"/>
        <v>0.79102991212839835</v>
      </c>
      <c r="AD94" s="23">
        <f t="shared" si="17"/>
        <v>0.79389194641418692</v>
      </c>
      <c r="AE94" s="23">
        <f t="shared" si="17"/>
        <v>0.79673060817193153</v>
      </c>
      <c r="AF94" s="23">
        <f t="shared" si="17"/>
        <v>0.79954580673955034</v>
      </c>
      <c r="AG94" s="23">
        <f t="shared" si="17"/>
        <v>0.80233745687730762</v>
      </c>
      <c r="AH94" s="23">
        <f t="shared" si="17"/>
        <v>0.80510547874819172</v>
      </c>
      <c r="AI94" s="23">
        <f t="shared" si="17"/>
        <v>0.80784979789630373</v>
      </c>
      <c r="AJ94" s="23">
        <f t="shared" si="17"/>
        <v>0.81057034522328786</v>
      </c>
      <c r="AK94" s="24">
        <f t="shared" si="17"/>
        <v>0.81326705696282731</v>
      </c>
    </row>
    <row r="95" spans="1:52" x14ac:dyDescent="0.25">
      <c r="B95" s="2">
        <f>B94+$A$94</f>
        <v>-3.9</v>
      </c>
      <c r="C95" s="2">
        <f t="shared" ref="C95:C158" si="19">_xlfn.NORM.DIST(B95,0,1,FALSE)</f>
        <v>1.9865547139277272E-4</v>
      </c>
      <c r="D95" s="2">
        <f t="shared" ref="D95:D158" si="20">_xlfn.NORM.DIST(B95,0,0.5,FALSE)</f>
        <v>4.9057105713928647E-14</v>
      </c>
      <c r="E95" s="2"/>
      <c r="F95" s="2">
        <f t="shared" ref="F95:F158" si="21">_xlfn.NORM.DIST(B95,0,2,FALSE)</f>
        <v>2.9797353034408038E-2</v>
      </c>
      <c r="G95" s="29">
        <f t="shared" ref="G95:G158" si="22">_xlfn.NORM.DIST(B95,0,1,TRUE)</f>
        <v>4.8096344017602614E-5</v>
      </c>
      <c r="I95" s="2">
        <f>I94+$H$94</f>
        <v>31</v>
      </c>
      <c r="J95" s="2">
        <f t="shared" ref="J95:J154" si="23">_xlfn.NORM.DIST(I95,60,10,FALSE)</f>
        <v>5.9525324197758534E-4</v>
      </c>
      <c r="AA95" s="19">
        <f t="shared" si="18"/>
        <v>0.89999999999999991</v>
      </c>
      <c r="AB95" s="23">
        <f t="shared" si="17"/>
        <v>0.81593987465324047</v>
      </c>
      <c r="AC95" s="23">
        <f t="shared" si="17"/>
        <v>0.81858874510820279</v>
      </c>
      <c r="AD95" s="23">
        <f t="shared" si="17"/>
        <v>0.82121362038562828</v>
      </c>
      <c r="AE95" s="23">
        <f t="shared" si="17"/>
        <v>0.82381445775474205</v>
      </c>
      <c r="AF95" s="23">
        <f t="shared" si="17"/>
        <v>0.82639121966137541</v>
      </c>
      <c r="AG95" s="23">
        <f t="shared" si="17"/>
        <v>0.82894387369151812</v>
      </c>
      <c r="AH95" s="23">
        <f t="shared" si="17"/>
        <v>0.83147239253316219</v>
      </c>
      <c r="AI95" s="23">
        <f t="shared" si="17"/>
        <v>0.83397675393647042</v>
      </c>
      <c r="AJ95" s="23">
        <f t="shared" si="17"/>
        <v>0.83645694067230769</v>
      </c>
      <c r="AK95" s="24">
        <f t="shared" si="17"/>
        <v>0.83891294048916909</v>
      </c>
    </row>
    <row r="96" spans="1:52" x14ac:dyDescent="0.25">
      <c r="B96" s="2">
        <f t="shared" ref="B96:B159" si="24">B95+$A$94</f>
        <v>-3.8</v>
      </c>
      <c r="C96" s="2">
        <f t="shared" si="19"/>
        <v>2.9194692579146027E-4</v>
      </c>
      <c r="D96" s="2">
        <f t="shared" si="20"/>
        <v>2.2883129803602739E-13</v>
      </c>
      <c r="E96" s="2"/>
      <c r="F96" s="2">
        <f t="shared" si="21"/>
        <v>3.2807907387338298E-2</v>
      </c>
      <c r="G96" s="29">
        <f t="shared" si="22"/>
        <v>7.234804392511999E-5</v>
      </c>
      <c r="I96" s="2">
        <f t="shared" ref="I96:I128" si="25">I95+$H$94</f>
        <v>32</v>
      </c>
      <c r="J96" s="2">
        <f t="shared" si="23"/>
        <v>7.9154515829799694E-4</v>
      </c>
      <c r="AA96" s="19">
        <f t="shared" si="18"/>
        <v>0.99999999999999989</v>
      </c>
      <c r="AB96" s="23">
        <f t="shared" ref="AB96:AK105" si="26">_xlfn.NORM.DIST($AA96+AB$85,0,1,TRUE)</f>
        <v>0.84134474606854281</v>
      </c>
      <c r="AC96" s="23">
        <f t="shared" si="26"/>
        <v>0.84375235497874534</v>
      </c>
      <c r="AD96" s="23">
        <f t="shared" si="26"/>
        <v>0.84613576962726511</v>
      </c>
      <c r="AE96" s="23">
        <f t="shared" si="26"/>
        <v>0.84849499721165622</v>
      </c>
      <c r="AF96" s="23">
        <f t="shared" si="26"/>
        <v>0.85083004966901854</v>
      </c>
      <c r="AG96" s="23">
        <f t="shared" si="26"/>
        <v>0.85314094362410409</v>
      </c>
      <c r="AH96" s="23">
        <f t="shared" si="26"/>
        <v>0.85542770033609039</v>
      </c>
      <c r="AI96" s="23">
        <f t="shared" si="26"/>
        <v>0.85769034564406077</v>
      </c>
      <c r="AJ96" s="23">
        <f t="shared" si="26"/>
        <v>0.85992890991123094</v>
      </c>
      <c r="AK96" s="24">
        <f t="shared" si="26"/>
        <v>0.8621434279679645</v>
      </c>
    </row>
    <row r="97" spans="2:43" x14ac:dyDescent="0.25">
      <c r="B97" s="2">
        <f t="shared" si="24"/>
        <v>-3.6999999999999997</v>
      </c>
      <c r="C97" s="2">
        <f t="shared" si="19"/>
        <v>4.2478027055075219E-4</v>
      </c>
      <c r="D97" s="2">
        <f t="shared" si="20"/>
        <v>1.0255507273593399E-12</v>
      </c>
      <c r="E97" s="2"/>
      <c r="F97" s="2">
        <f t="shared" si="21"/>
        <v>3.6032437168109013E-2</v>
      </c>
      <c r="G97" s="29">
        <f t="shared" si="22"/>
        <v>1.0779973347738824E-4</v>
      </c>
      <c r="I97" s="2">
        <f t="shared" si="25"/>
        <v>33</v>
      </c>
      <c r="J97" s="2">
        <f t="shared" si="23"/>
        <v>1.0420934814422591E-3</v>
      </c>
      <c r="AA97" s="19">
        <f t="shared" si="18"/>
        <v>1.0999999999999999</v>
      </c>
      <c r="AB97" s="23">
        <f t="shared" si="26"/>
        <v>0.86433393905361733</v>
      </c>
      <c r="AC97" s="23">
        <f t="shared" si="26"/>
        <v>0.86650048675725277</v>
      </c>
      <c r="AD97" s="23">
        <f t="shared" si="26"/>
        <v>0.86864311895726931</v>
      </c>
      <c r="AE97" s="23">
        <f t="shared" si="26"/>
        <v>0.8707618877599822</v>
      </c>
      <c r="AF97" s="23">
        <f t="shared" si="26"/>
        <v>0.87285684943720176</v>
      </c>
      <c r="AG97" s="23">
        <f t="shared" si="26"/>
        <v>0.87492806436284976</v>
      </c>
      <c r="AH97" s="23">
        <f t="shared" si="26"/>
        <v>0.87697559694865657</v>
      </c>
      <c r="AI97" s="23">
        <f t="shared" si="26"/>
        <v>0.87899951557898182</v>
      </c>
      <c r="AJ97" s="23">
        <f t="shared" si="26"/>
        <v>0.88099989254479927</v>
      </c>
      <c r="AK97" s="24">
        <f t="shared" si="26"/>
        <v>0.88297680397689138</v>
      </c>
    </row>
    <row r="98" spans="2:43" x14ac:dyDescent="0.25">
      <c r="B98" s="2">
        <f t="shared" si="24"/>
        <v>-3.5999999999999996</v>
      </c>
      <c r="C98" s="2">
        <f t="shared" si="19"/>
        <v>6.1190193011377298E-4</v>
      </c>
      <c r="D98" s="2">
        <f t="shared" si="20"/>
        <v>4.41597992627431E-12</v>
      </c>
      <c r="E98" s="2"/>
      <c r="F98" s="2">
        <f t="shared" si="21"/>
        <v>3.9475079150447089E-2</v>
      </c>
      <c r="G98" s="29">
        <f t="shared" si="22"/>
        <v>1.5910859015753396E-4</v>
      </c>
      <c r="I98" s="2">
        <f t="shared" si="25"/>
        <v>34</v>
      </c>
      <c r="J98" s="2">
        <f t="shared" si="23"/>
        <v>1.3582969233685612E-3</v>
      </c>
      <c r="AA98" s="19">
        <f t="shared" si="18"/>
        <v>1.2</v>
      </c>
      <c r="AB98" s="23">
        <f t="shared" si="26"/>
        <v>0.88493032977829178</v>
      </c>
      <c r="AC98" s="23">
        <f t="shared" si="26"/>
        <v>0.88686055355602278</v>
      </c>
      <c r="AD98" s="23">
        <f t="shared" si="26"/>
        <v>0.88876756255216538</v>
      </c>
      <c r="AE98" s="23">
        <f t="shared" si="26"/>
        <v>0.89065144757430814</v>
      </c>
      <c r="AF98" s="23">
        <f t="shared" si="26"/>
        <v>0.89251230292541306</v>
      </c>
      <c r="AG98" s="23">
        <f t="shared" si="26"/>
        <v>0.89435022633314476</v>
      </c>
      <c r="AH98" s="23">
        <f t="shared" si="26"/>
        <v>0.89616531887869966</v>
      </c>
      <c r="AI98" s="23">
        <f t="shared" si="26"/>
        <v>0.89795768492518091</v>
      </c>
      <c r="AJ98" s="23">
        <f t="shared" si="26"/>
        <v>0.89972743204555794</v>
      </c>
      <c r="AK98" s="24">
        <f t="shared" si="26"/>
        <v>0.90147467095025213</v>
      </c>
    </row>
    <row r="99" spans="2:43" x14ac:dyDescent="0.25">
      <c r="B99" s="2">
        <f t="shared" si="24"/>
        <v>-3.4999999999999996</v>
      </c>
      <c r="C99" s="2">
        <f t="shared" si="19"/>
        <v>8.7268269504576167E-4</v>
      </c>
      <c r="D99" s="2">
        <f t="shared" si="20"/>
        <v>1.8269440816729317E-11</v>
      </c>
      <c r="E99" s="2"/>
      <c r="F99" s="2">
        <f t="shared" si="21"/>
        <v>4.313865941325578E-2</v>
      </c>
      <c r="G99" s="29">
        <f t="shared" si="22"/>
        <v>2.3262907903552504E-4</v>
      </c>
      <c r="I99" s="2">
        <f t="shared" si="25"/>
        <v>35</v>
      </c>
      <c r="J99" s="2">
        <f t="shared" si="23"/>
        <v>1.752830049356854E-3</v>
      </c>
      <c r="L99" t="s">
        <v>23</v>
      </c>
      <c r="M99" t="s">
        <v>24</v>
      </c>
      <c r="O99" t="s">
        <v>22</v>
      </c>
      <c r="Q99" t="s">
        <v>22</v>
      </c>
      <c r="AA99" s="19">
        <f t="shared" si="18"/>
        <v>1.3</v>
      </c>
      <c r="AB99" s="23">
        <f t="shared" si="26"/>
        <v>0.9031995154143897</v>
      </c>
      <c r="AC99" s="23">
        <f t="shared" si="26"/>
        <v>0.90490208220476098</v>
      </c>
      <c r="AD99" s="23">
        <f t="shared" si="26"/>
        <v>0.90658249100652821</v>
      </c>
      <c r="AE99" s="23">
        <f t="shared" si="26"/>
        <v>0.90824086434971918</v>
      </c>
      <c r="AF99" s="23">
        <f t="shared" si="26"/>
        <v>0.90987732753554751</v>
      </c>
      <c r="AG99" s="23">
        <f t="shared" si="26"/>
        <v>0.91149200856259804</v>
      </c>
      <c r="AH99" s="23">
        <f t="shared" si="26"/>
        <v>0.91308503805291497</v>
      </c>
      <c r="AI99" s="23">
        <f t="shared" si="26"/>
        <v>0.91465654917803307</v>
      </c>
      <c r="AJ99" s="23">
        <f t="shared" si="26"/>
        <v>0.91620667758498575</v>
      </c>
      <c r="AK99" s="24">
        <f t="shared" si="26"/>
        <v>0.91773556132233114</v>
      </c>
    </row>
    <row r="100" spans="2:43" x14ac:dyDescent="0.25">
      <c r="B100" s="2">
        <f t="shared" si="24"/>
        <v>-3.3999999999999995</v>
      </c>
      <c r="C100" s="2">
        <f t="shared" si="19"/>
        <v>1.232219168473021E-3</v>
      </c>
      <c r="D100" s="2">
        <f t="shared" si="20"/>
        <v>7.2619230035836267E-11</v>
      </c>
      <c r="E100" s="2"/>
      <c r="F100" s="2">
        <f t="shared" si="21"/>
        <v>4.7024538688443487E-2</v>
      </c>
      <c r="G100" s="29">
        <f t="shared" si="22"/>
        <v>3.3692926567688151E-4</v>
      </c>
      <c r="I100" s="2">
        <f t="shared" si="25"/>
        <v>36</v>
      </c>
      <c r="J100" s="2">
        <f t="shared" si="23"/>
        <v>2.2394530294842902E-3</v>
      </c>
      <c r="L100" s="29">
        <v>0.99</v>
      </c>
      <c r="M100" s="29">
        <f>1-L100</f>
        <v>1.0000000000000009E-2</v>
      </c>
      <c r="N100" s="29">
        <f>L100+M100/2</f>
        <v>0.995</v>
      </c>
      <c r="O100" s="29">
        <f>_xlfn.NORM.INV(N100,0,1)</f>
        <v>2.5758293035488999</v>
      </c>
      <c r="P100" s="29">
        <f>1-N100</f>
        <v>5.0000000000000044E-3</v>
      </c>
      <c r="Q100" s="29">
        <f>_xlfn.NORM.INV(P100,0,1)</f>
        <v>-2.5758293035488999</v>
      </c>
      <c r="AA100" s="19">
        <f t="shared" si="18"/>
        <v>1.4000000000000001</v>
      </c>
      <c r="AB100" s="23">
        <f t="shared" si="26"/>
        <v>0.91924334076622893</v>
      </c>
      <c r="AC100" s="23">
        <f t="shared" si="26"/>
        <v>0.92073015854660767</v>
      </c>
      <c r="AD100" s="23">
        <f t="shared" si="26"/>
        <v>0.92219615947345368</v>
      </c>
      <c r="AE100" s="23">
        <f t="shared" si="26"/>
        <v>0.92364149046326094</v>
      </c>
      <c r="AF100" s="23">
        <f t="shared" si="26"/>
        <v>0.92506630046567295</v>
      </c>
      <c r="AG100" s="23">
        <f t="shared" si="26"/>
        <v>0.92647074039035171</v>
      </c>
      <c r="AH100" s="23">
        <f t="shared" si="26"/>
        <v>0.92785496303410619</v>
      </c>
      <c r="AI100" s="23">
        <f t="shared" si="26"/>
        <v>0.92921912300831455</v>
      </c>
      <c r="AJ100" s="23">
        <f t="shared" si="26"/>
        <v>0.93056337666666833</v>
      </c>
      <c r="AK100" s="24">
        <f t="shared" si="26"/>
        <v>0.93188788203327455</v>
      </c>
    </row>
    <row r="101" spans="2:43" x14ac:dyDescent="0.25">
      <c r="B101" s="2">
        <f t="shared" si="24"/>
        <v>-3.2999999999999994</v>
      </c>
      <c r="C101" s="2">
        <f t="shared" si="19"/>
        <v>1.7225689390536843E-3</v>
      </c>
      <c r="D101" s="2">
        <f t="shared" si="20"/>
        <v>2.7733599883306541E-10</v>
      </c>
      <c r="E101" s="2"/>
      <c r="F101" s="2">
        <f t="shared" si="21"/>
        <v>5.113246228198904E-2</v>
      </c>
      <c r="G101" s="29">
        <f t="shared" si="22"/>
        <v>4.8342414238377744E-4</v>
      </c>
      <c r="I101" s="2">
        <f t="shared" si="25"/>
        <v>37</v>
      </c>
      <c r="J101" s="2">
        <f t="shared" si="23"/>
        <v>2.8327037741601186E-3</v>
      </c>
      <c r="L101" s="29">
        <v>0.999</v>
      </c>
      <c r="M101" s="29">
        <f>1-L101</f>
        <v>1.0000000000000009E-3</v>
      </c>
      <c r="N101" s="29">
        <f>L101+M101/2</f>
        <v>0.99950000000000006</v>
      </c>
      <c r="O101" s="29">
        <f>_xlfn.NORM.INV(N101,0,1)</f>
        <v>3.2905267314919255</v>
      </c>
      <c r="P101" s="29">
        <f>1-N101</f>
        <v>4.9999999999994493E-4</v>
      </c>
      <c r="Q101" s="29">
        <f>_xlfn.NORM.INV(P101,0,1)</f>
        <v>-3.2905267314919255</v>
      </c>
      <c r="AA101" s="19">
        <f t="shared" si="18"/>
        <v>1.5000000000000002</v>
      </c>
      <c r="AB101" s="23">
        <f t="shared" si="26"/>
        <v>0.93319279873114191</v>
      </c>
      <c r="AC101" s="23">
        <f t="shared" si="26"/>
        <v>0.93447828791108356</v>
      </c>
      <c r="AD101" s="23">
        <f t="shared" si="26"/>
        <v>0.93574451218106425</v>
      </c>
      <c r="AE101" s="23">
        <f t="shared" si="26"/>
        <v>0.93699163553602161</v>
      </c>
      <c r="AF101" s="23">
        <f t="shared" si="26"/>
        <v>0.9382198232881882</v>
      </c>
      <c r="AG101" s="23">
        <f t="shared" si="26"/>
        <v>0.93942924199794109</v>
      </c>
      <c r="AH101" s="23">
        <f t="shared" si="26"/>
        <v>0.94062005940520699</v>
      </c>
      <c r="AI101" s="23">
        <f t="shared" si="26"/>
        <v>0.94179244436144705</v>
      </c>
      <c r="AJ101" s="23">
        <f t="shared" si="26"/>
        <v>0.94294656676224586</v>
      </c>
      <c r="AK101" s="24">
        <f t="shared" si="26"/>
        <v>0.94408259748053058</v>
      </c>
    </row>
    <row r="102" spans="2:43" x14ac:dyDescent="0.25">
      <c r="B102" s="2">
        <f t="shared" si="24"/>
        <v>-3.1999999999999993</v>
      </c>
      <c r="C102" s="2">
        <f t="shared" si="19"/>
        <v>2.3840882014648486E-3</v>
      </c>
      <c r="D102" s="2">
        <f t="shared" si="20"/>
        <v>1.017628056329022E-9</v>
      </c>
      <c r="E102" s="2"/>
      <c r="F102" s="2">
        <f t="shared" si="21"/>
        <v>5.5460417339727813E-2</v>
      </c>
      <c r="G102" s="29">
        <f t="shared" si="22"/>
        <v>6.8713793791584969E-4</v>
      </c>
      <c r="I102" s="2">
        <f t="shared" si="25"/>
        <v>38</v>
      </c>
      <c r="J102" s="2">
        <f t="shared" si="23"/>
        <v>3.5474592846231421E-3</v>
      </c>
      <c r="L102" s="29">
        <v>0.95</v>
      </c>
      <c r="M102" s="29">
        <f>1-L102</f>
        <v>5.0000000000000044E-2</v>
      </c>
      <c r="N102" s="29">
        <f>L102+M102/2</f>
        <v>0.97499999999999998</v>
      </c>
      <c r="O102" s="29">
        <f>_xlfn.NORM.INV(N102,0,1)</f>
        <v>1.9599639845400536</v>
      </c>
      <c r="P102" s="29">
        <f>1-N102</f>
        <v>2.5000000000000022E-2</v>
      </c>
      <c r="Q102" s="29">
        <f>_xlfn.NORM.INV(P102,0,1)</f>
        <v>-1.9599639845400536</v>
      </c>
      <c r="AA102" s="19">
        <f t="shared" si="18"/>
        <v>1.6000000000000003</v>
      </c>
      <c r="AB102" s="23">
        <f t="shared" si="26"/>
        <v>0.94520070830044201</v>
      </c>
      <c r="AC102" s="23">
        <f t="shared" si="26"/>
        <v>0.94630107185188028</v>
      </c>
      <c r="AD102" s="23">
        <f t="shared" si="26"/>
        <v>0.94738386154574794</v>
      </c>
      <c r="AE102" s="23">
        <f t="shared" si="26"/>
        <v>0.94844925150991066</v>
      </c>
      <c r="AF102" s="25">
        <f t="shared" si="26"/>
        <v>0.94949741652589636</v>
      </c>
      <c r="AG102" s="25">
        <f t="shared" si="26"/>
        <v>0.9505285319663519</v>
      </c>
      <c r="AH102" s="23">
        <f t="shared" si="26"/>
        <v>0.95154277373327723</v>
      </c>
      <c r="AI102" s="23">
        <f t="shared" si="26"/>
        <v>0.95254031819705276</v>
      </c>
      <c r="AJ102" s="23">
        <f t="shared" si="26"/>
        <v>0.95352134213628004</v>
      </c>
      <c r="AK102" s="24">
        <f t="shared" si="26"/>
        <v>0.95448602267845017</v>
      </c>
      <c r="AN102" t="s">
        <v>39</v>
      </c>
      <c r="AQ102" t="s">
        <v>40</v>
      </c>
    </row>
    <row r="103" spans="2:43" x14ac:dyDescent="0.25">
      <c r="B103" s="2">
        <f t="shared" si="24"/>
        <v>-3.0999999999999992</v>
      </c>
      <c r="C103" s="2">
        <f t="shared" si="19"/>
        <v>3.2668190561999273E-3</v>
      </c>
      <c r="D103" s="2">
        <f t="shared" si="20"/>
        <v>3.5875678159281973E-9</v>
      </c>
      <c r="E103" s="2"/>
      <c r="F103" s="2">
        <f t="shared" si="21"/>
        <v>6.0004500348492834E-2</v>
      </c>
      <c r="G103" s="29">
        <f t="shared" si="22"/>
        <v>9.6760321321835816E-4</v>
      </c>
      <c r="I103" s="2">
        <f t="shared" si="25"/>
        <v>39</v>
      </c>
      <c r="J103" s="2">
        <f t="shared" si="23"/>
        <v>4.3983595980427196E-3</v>
      </c>
      <c r="L103" s="29"/>
      <c r="M103" s="29"/>
      <c r="N103" s="29"/>
      <c r="O103" s="29"/>
      <c r="P103" s="29"/>
      <c r="Q103" s="29"/>
      <c r="AA103" s="19">
        <f t="shared" si="18"/>
        <v>1.7000000000000004</v>
      </c>
      <c r="AB103" s="23">
        <f t="shared" si="26"/>
        <v>0.95543453724145699</v>
      </c>
      <c r="AC103" s="23">
        <f t="shared" si="26"/>
        <v>0.95636706347596812</v>
      </c>
      <c r="AD103" s="23">
        <f t="shared" si="26"/>
        <v>0.95728377920867114</v>
      </c>
      <c r="AE103" s="23">
        <f t="shared" si="26"/>
        <v>0.9581848623864051</v>
      </c>
      <c r="AF103" s="23">
        <f t="shared" si="26"/>
        <v>0.95907049102119268</v>
      </c>
      <c r="AG103" s="23">
        <f t="shared" si="26"/>
        <v>0.959940843136183</v>
      </c>
      <c r="AH103" s="23">
        <f t="shared" si="26"/>
        <v>0.96079609671251742</v>
      </c>
      <c r="AI103" s="23">
        <f t="shared" si="26"/>
        <v>0.96163642963712881</v>
      </c>
      <c r="AJ103" s="23">
        <f t="shared" si="26"/>
        <v>0.96246201965148326</v>
      </c>
      <c r="AK103" s="24">
        <f t="shared" si="26"/>
        <v>0.9632730443012737</v>
      </c>
    </row>
    <row r="104" spans="2:43" x14ac:dyDescent="0.25">
      <c r="B104" s="2">
        <f t="shared" si="24"/>
        <v>-2.9999999999999991</v>
      </c>
      <c r="C104" s="2">
        <f t="shared" si="19"/>
        <v>4.4318484119380188E-3</v>
      </c>
      <c r="D104" s="2">
        <f t="shared" si="20"/>
        <v>1.2151765699646701E-8</v>
      </c>
      <c r="E104" s="2"/>
      <c r="F104" s="2">
        <f t="shared" si="21"/>
        <v>6.4758797832945914E-2</v>
      </c>
      <c r="G104" s="29">
        <f t="shared" si="22"/>
        <v>1.3498980316300983E-3</v>
      </c>
      <c r="I104" s="2">
        <f t="shared" si="25"/>
        <v>40</v>
      </c>
      <c r="J104" s="2">
        <f t="shared" si="23"/>
        <v>5.3990966513188061E-3</v>
      </c>
      <c r="L104" s="29"/>
      <c r="M104" s="29"/>
      <c r="N104" s="29"/>
      <c r="O104" s="29"/>
      <c r="P104" s="29"/>
      <c r="Q104" s="29"/>
      <c r="AA104" s="19">
        <f t="shared" si="18"/>
        <v>1.8000000000000005</v>
      </c>
      <c r="AB104" s="23">
        <f t="shared" si="26"/>
        <v>0.96406968088707423</v>
      </c>
      <c r="AC104" s="23">
        <f t="shared" si="26"/>
        <v>0.9648521064159612</v>
      </c>
      <c r="AD104" s="23">
        <f t="shared" si="26"/>
        <v>0.96562049755411006</v>
      </c>
      <c r="AE104" s="23">
        <f t="shared" si="26"/>
        <v>0.96637503058037166</v>
      </c>
      <c r="AF104" s="23">
        <f t="shared" si="26"/>
        <v>0.96711588134083615</v>
      </c>
      <c r="AG104" s="23">
        <f t="shared" si="26"/>
        <v>0.96784322520438637</v>
      </c>
      <c r="AH104" s="23">
        <f t="shared" si="26"/>
        <v>0.96855723701924734</v>
      </c>
      <c r="AI104" s="23">
        <f t="shared" si="26"/>
        <v>0.96925809107053407</v>
      </c>
      <c r="AJ104" s="23">
        <f t="shared" si="26"/>
        <v>0.96994596103880026</v>
      </c>
      <c r="AK104" s="24">
        <f t="shared" si="26"/>
        <v>0.9706210199595906</v>
      </c>
    </row>
    <row r="105" spans="2:43" x14ac:dyDescent="0.25">
      <c r="B105" s="2">
        <f t="shared" si="24"/>
        <v>-2.899999999999999</v>
      </c>
      <c r="C105" s="2">
        <f t="shared" si="19"/>
        <v>5.9525324197758694E-3</v>
      </c>
      <c r="D105" s="2">
        <f t="shared" si="20"/>
        <v>3.9546392812489761E-8</v>
      </c>
      <c r="E105" s="2"/>
      <c r="F105" s="2">
        <f t="shared" si="21"/>
        <v>6.9715283222680183E-2</v>
      </c>
      <c r="G105" s="29">
        <f t="shared" si="22"/>
        <v>1.865813300384041E-3</v>
      </c>
      <c r="I105" s="2">
        <f t="shared" si="25"/>
        <v>41</v>
      </c>
      <c r="J105" s="2">
        <f t="shared" si="23"/>
        <v>6.5615814774676604E-3</v>
      </c>
      <c r="L105" s="29"/>
      <c r="M105" s="29"/>
      <c r="N105" s="29"/>
      <c r="O105" s="29"/>
      <c r="P105" s="29"/>
      <c r="Q105" s="29"/>
      <c r="AA105" s="19">
        <f t="shared" si="18"/>
        <v>1.9000000000000006</v>
      </c>
      <c r="AB105" s="23">
        <f t="shared" si="26"/>
        <v>0.97128344018399826</v>
      </c>
      <c r="AC105" s="23">
        <f t="shared" si="26"/>
        <v>0.97193339334022755</v>
      </c>
      <c r="AD105" s="23">
        <f t="shared" si="26"/>
        <v>0.9725710502961632</v>
      </c>
      <c r="AE105" s="23">
        <f t="shared" si="26"/>
        <v>0.97319658112294505</v>
      </c>
      <c r="AF105" s="23">
        <f t="shared" si="26"/>
        <v>0.97381015505954738</v>
      </c>
      <c r="AG105" s="23">
        <f t="shared" si="26"/>
        <v>0.97441194047836144</v>
      </c>
      <c r="AH105" s="28">
        <f t="shared" si="26"/>
        <v>0.97500210485177963</v>
      </c>
      <c r="AI105" s="23">
        <f t="shared" si="26"/>
        <v>0.97558081471977753</v>
      </c>
      <c r="AJ105" s="23">
        <f t="shared" si="26"/>
        <v>0.97614823565849151</v>
      </c>
      <c r="AK105" s="24">
        <f t="shared" si="26"/>
        <v>0.97670453224978826</v>
      </c>
      <c r="AN105" t="s">
        <v>4</v>
      </c>
      <c r="AO105" t="s">
        <v>22</v>
      </c>
    </row>
    <row r="106" spans="2:43" x14ac:dyDescent="0.25">
      <c r="B106" s="2">
        <f t="shared" si="24"/>
        <v>-2.7999999999999989</v>
      </c>
      <c r="C106" s="2">
        <f t="shared" si="19"/>
        <v>7.9154515829799894E-3</v>
      </c>
      <c r="D106" s="2">
        <f t="shared" si="20"/>
        <v>1.2365241000331844E-7</v>
      </c>
      <c r="E106" s="2"/>
      <c r="F106" s="2">
        <f t="shared" si="21"/>
        <v>7.4863732817872494E-2</v>
      </c>
      <c r="G106" s="29">
        <f t="shared" si="22"/>
        <v>2.555130330427939E-3</v>
      </c>
      <c r="I106" s="2">
        <f t="shared" si="25"/>
        <v>42</v>
      </c>
      <c r="J106" s="2">
        <f t="shared" si="23"/>
        <v>7.8950158300894139E-3</v>
      </c>
      <c r="L106" s="29"/>
      <c r="M106" s="29"/>
      <c r="N106" s="29"/>
      <c r="O106" s="29"/>
      <c r="P106" s="29"/>
      <c r="Q106" s="29"/>
      <c r="AA106" s="19">
        <f t="shared" si="18"/>
        <v>2.0000000000000004</v>
      </c>
      <c r="AB106" s="23">
        <f t="shared" ref="AB106:AK116" si="27">_xlfn.NORM.DIST($AA106+AB$85,0,1,TRUE)</f>
        <v>0.97724986805182079</v>
      </c>
      <c r="AC106" s="23">
        <f t="shared" si="27"/>
        <v>0.97778440557056856</v>
      </c>
      <c r="AD106" s="23">
        <f t="shared" si="27"/>
        <v>0.97830830623235321</v>
      </c>
      <c r="AE106" s="23">
        <f t="shared" si="27"/>
        <v>0.97882173035732778</v>
      </c>
      <c r="AF106" s="23">
        <f t="shared" si="27"/>
        <v>0.97932483713393004</v>
      </c>
      <c r="AG106" s="23">
        <f t="shared" si="27"/>
        <v>0.97981778459429558</v>
      </c>
      <c r="AH106" s="23">
        <f t="shared" si="27"/>
        <v>0.98030072959062309</v>
      </c>
      <c r="AI106" s="23">
        <f t="shared" si="27"/>
        <v>0.98077382777248279</v>
      </c>
      <c r="AJ106" s="23">
        <f t="shared" si="27"/>
        <v>0.98123723356506232</v>
      </c>
      <c r="AK106" s="24">
        <f t="shared" si="27"/>
        <v>0.98169110014834104</v>
      </c>
      <c r="AN106">
        <f>1.285*0.1+1.7</f>
        <v>1.8285</v>
      </c>
      <c r="AO106">
        <f>(83-82)/10</f>
        <v>0.1</v>
      </c>
    </row>
    <row r="107" spans="2:43" x14ac:dyDescent="0.25">
      <c r="B107" s="2">
        <f t="shared" si="24"/>
        <v>-2.6999999999999988</v>
      </c>
      <c r="C107" s="2">
        <f t="shared" si="19"/>
        <v>1.0420934814422628E-2</v>
      </c>
      <c r="D107" s="2">
        <f t="shared" si="20"/>
        <v>3.7147236891106323E-7</v>
      </c>
      <c r="E107" s="2"/>
      <c r="F107" s="2">
        <f t="shared" si="21"/>
        <v>8.0191663670959867E-2</v>
      </c>
      <c r="G107" s="29">
        <f t="shared" si="22"/>
        <v>3.4669738030406777E-3</v>
      </c>
      <c r="I107" s="2">
        <f t="shared" si="25"/>
        <v>43</v>
      </c>
      <c r="J107" s="2">
        <f t="shared" si="23"/>
        <v>9.4049077376886937E-3</v>
      </c>
      <c r="L107" s="29"/>
      <c r="M107" s="29"/>
      <c r="N107" s="29"/>
      <c r="O107" s="29"/>
      <c r="P107" s="29"/>
      <c r="Q107" s="29"/>
      <c r="AA107" s="19">
        <f t="shared" si="18"/>
        <v>2.1000000000000005</v>
      </c>
      <c r="AB107" s="23">
        <f t="shared" si="27"/>
        <v>0.98213557943718344</v>
      </c>
      <c r="AC107" s="23">
        <f t="shared" si="27"/>
        <v>0.98257082206234292</v>
      </c>
      <c r="AD107" s="23">
        <f t="shared" si="27"/>
        <v>0.98299697735236724</v>
      </c>
      <c r="AE107" s="23">
        <f t="shared" si="27"/>
        <v>0.98341419331639501</v>
      </c>
      <c r="AF107" s="23">
        <f t="shared" si="27"/>
        <v>0.98382261662783388</v>
      </c>
      <c r="AG107" s="23">
        <f t="shared" si="27"/>
        <v>0.98422239260890954</v>
      </c>
      <c r="AH107" s="23">
        <f t="shared" si="27"/>
        <v>0.98461366521607463</v>
      </c>
      <c r="AI107" s="23">
        <f t="shared" si="27"/>
        <v>0.98499657702626786</v>
      </c>
      <c r="AJ107" s="23">
        <f t="shared" si="27"/>
        <v>0.98537126922401075</v>
      </c>
      <c r="AK107" s="24">
        <f t="shared" si="27"/>
        <v>0.98573788158933118</v>
      </c>
    </row>
    <row r="108" spans="2:43" x14ac:dyDescent="0.25">
      <c r="B108" s="2">
        <f t="shared" si="24"/>
        <v>-2.5999999999999988</v>
      </c>
      <c r="C108" s="2">
        <f t="shared" si="19"/>
        <v>1.3582969233685661E-2</v>
      </c>
      <c r="D108" s="2">
        <f t="shared" si="20"/>
        <v>1.0722070689395379E-6</v>
      </c>
      <c r="E108" s="2"/>
      <c r="F108" s="2">
        <f t="shared" si="21"/>
        <v>8.5684296023903747E-2</v>
      </c>
      <c r="G108" s="29">
        <f t="shared" si="22"/>
        <v>4.6611880237187649E-3</v>
      </c>
      <c r="I108" s="2">
        <f t="shared" si="25"/>
        <v>44</v>
      </c>
      <c r="J108" s="2">
        <f t="shared" si="23"/>
        <v>1.1092083467945555E-2</v>
      </c>
      <c r="L108" s="29"/>
      <c r="M108" s="29"/>
      <c r="N108" s="29"/>
      <c r="O108" s="29"/>
      <c r="P108" s="29"/>
      <c r="Q108" s="29"/>
      <c r="AA108" s="19">
        <f t="shared" si="18"/>
        <v>2.2000000000000006</v>
      </c>
      <c r="AB108" s="23">
        <f t="shared" si="27"/>
        <v>0.98609655248650141</v>
      </c>
      <c r="AC108" s="23">
        <f t="shared" si="27"/>
        <v>0.98644741885358</v>
      </c>
      <c r="AD108" s="23">
        <f t="shared" si="27"/>
        <v>0.98679061619274377</v>
      </c>
      <c r="AE108" s="23">
        <f t="shared" si="27"/>
        <v>0.98712627856139801</v>
      </c>
      <c r="AF108" s="23">
        <f t="shared" si="27"/>
        <v>0.98745453856405341</v>
      </c>
      <c r="AG108" s="23">
        <f t="shared" si="27"/>
        <v>0.98777552734495533</v>
      </c>
      <c r="AH108" s="23">
        <f t="shared" si="27"/>
        <v>0.98808937458145296</v>
      </c>
      <c r="AI108" s="23">
        <f t="shared" si="27"/>
        <v>0.98839620847809651</v>
      </c>
      <c r="AJ108" s="23">
        <f t="shared" si="27"/>
        <v>0.9886961557614472</v>
      </c>
      <c r="AK108" s="24">
        <f t="shared" si="27"/>
        <v>0.98898934167558861</v>
      </c>
    </row>
    <row r="109" spans="2:43" x14ac:dyDescent="0.25">
      <c r="B109" s="2">
        <f t="shared" si="24"/>
        <v>-2.4999999999999987</v>
      </c>
      <c r="C109" s="2">
        <f t="shared" si="19"/>
        <v>1.7528300493568599E-2</v>
      </c>
      <c r="D109" s="2">
        <f t="shared" si="20"/>
        <v>2.9734390294686377E-6</v>
      </c>
      <c r="E109" s="2"/>
      <c r="F109" s="2">
        <f t="shared" si="21"/>
        <v>9.1324542694511041E-2</v>
      </c>
      <c r="G109" s="29">
        <f t="shared" si="22"/>
        <v>6.2096653257761565E-3</v>
      </c>
      <c r="I109" s="2">
        <f t="shared" si="25"/>
        <v>45</v>
      </c>
      <c r="J109" s="2">
        <f t="shared" si="23"/>
        <v>1.2951759566589173E-2</v>
      </c>
      <c r="L109" s="29"/>
      <c r="M109" s="29"/>
      <c r="N109" s="29"/>
      <c r="O109" s="29"/>
      <c r="P109" s="29"/>
      <c r="Q109" s="29"/>
      <c r="AA109" s="19">
        <f t="shared" si="18"/>
        <v>2.3000000000000007</v>
      </c>
      <c r="AB109" s="23">
        <f t="shared" si="27"/>
        <v>0.98927588997832416</v>
      </c>
      <c r="AC109" s="23">
        <f t="shared" si="27"/>
        <v>0.98955592293804895</v>
      </c>
      <c r="AD109" s="23">
        <f t="shared" si="27"/>
        <v>0.98982956133128031</v>
      </c>
      <c r="AE109" s="25">
        <f t="shared" si="27"/>
        <v>0.99009692444083575</v>
      </c>
      <c r="AF109" s="23">
        <f t="shared" si="27"/>
        <v>0.99035813005464168</v>
      </c>
      <c r="AG109" s="23">
        <f t="shared" si="27"/>
        <v>0.99061329446516144</v>
      </c>
      <c r="AH109" s="23">
        <f t="shared" si="27"/>
        <v>0.99086253246942735</v>
      </c>
      <c r="AI109" s="23">
        <f t="shared" si="27"/>
        <v>0.99110595736966323</v>
      </c>
      <c r="AJ109" s="23">
        <f t="shared" si="27"/>
        <v>0.99134368097448344</v>
      </c>
      <c r="AK109" s="24">
        <f t="shared" si="27"/>
        <v>0.99157581360065428</v>
      </c>
    </row>
    <row r="110" spans="2:43" x14ac:dyDescent="0.25">
      <c r="B110" s="2">
        <f t="shared" si="24"/>
        <v>-2.3999999999999986</v>
      </c>
      <c r="C110" s="2">
        <f t="shared" si="19"/>
        <v>2.2394530294842969E-2</v>
      </c>
      <c r="D110" s="2">
        <f t="shared" si="20"/>
        <v>7.9225981820642489E-6</v>
      </c>
      <c r="E110" s="2"/>
      <c r="F110" s="2">
        <f t="shared" si="21"/>
        <v>9.7093027491606559E-2</v>
      </c>
      <c r="G110" s="29">
        <f t="shared" si="22"/>
        <v>8.1975359245961572E-3</v>
      </c>
      <c r="I110" s="2">
        <f t="shared" si="25"/>
        <v>46</v>
      </c>
      <c r="J110" s="2">
        <f t="shared" si="23"/>
        <v>1.4972746563574486E-2</v>
      </c>
      <c r="L110" s="29"/>
      <c r="M110" s="29"/>
      <c r="N110" s="29"/>
      <c r="O110" s="29"/>
      <c r="P110" s="29"/>
      <c r="Q110" s="29"/>
      <c r="AA110" s="19">
        <f t="shared" si="18"/>
        <v>2.4000000000000008</v>
      </c>
      <c r="AB110" s="23">
        <f t="shared" si="27"/>
        <v>0.99180246407540384</v>
      </c>
      <c r="AC110" s="23">
        <f t="shared" si="27"/>
        <v>0.99202373973926627</v>
      </c>
      <c r="AD110" s="23">
        <f t="shared" si="27"/>
        <v>0.99223974644944635</v>
      </c>
      <c r="AE110" s="23">
        <f t="shared" si="27"/>
        <v>0.99245058858369084</v>
      </c>
      <c r="AF110" s="23">
        <f t="shared" si="27"/>
        <v>0.99265636904465171</v>
      </c>
      <c r="AG110" s="23">
        <f t="shared" si="27"/>
        <v>0.99285718926472855</v>
      </c>
      <c r="AH110" s="23">
        <f t="shared" si="27"/>
        <v>0.99305314921137566</v>
      </c>
      <c r="AI110" s="23">
        <f t="shared" si="27"/>
        <v>0.99324434739285938</v>
      </c>
      <c r="AJ110" s="23">
        <f t="shared" si="27"/>
        <v>0.9934308808644533</v>
      </c>
      <c r="AK110" s="24">
        <f t="shared" si="27"/>
        <v>0.99361284523505689</v>
      </c>
    </row>
    <row r="111" spans="2:43" x14ac:dyDescent="0.25">
      <c r="B111" s="2">
        <f t="shared" si="24"/>
        <v>-2.2999999999999985</v>
      </c>
      <c r="C111" s="2">
        <f t="shared" si="19"/>
        <v>2.8327037741601276E-2</v>
      </c>
      <c r="D111" s="2">
        <f t="shared" si="20"/>
        <v>2.0281704130973771E-5</v>
      </c>
      <c r="E111" s="2"/>
      <c r="F111" s="2">
        <f t="shared" si="21"/>
        <v>0.10296813435998747</v>
      </c>
      <c r="G111" s="29">
        <f t="shared" si="22"/>
        <v>1.0724110021675844E-2</v>
      </c>
      <c r="I111" s="2">
        <f t="shared" si="25"/>
        <v>47</v>
      </c>
      <c r="J111" s="2">
        <f t="shared" si="23"/>
        <v>1.7136859204780735E-2</v>
      </c>
      <c r="L111" s="29"/>
      <c r="M111" s="29"/>
      <c r="N111" s="29"/>
      <c r="O111" s="29"/>
      <c r="P111" s="29"/>
      <c r="Q111" s="29"/>
      <c r="AA111" s="19">
        <f t="shared" si="18"/>
        <v>2.5000000000000009</v>
      </c>
      <c r="AB111" s="23">
        <f>_xlfn.NORM.DIST($AA111+AB$85,0,1,TRUE)</f>
        <v>0.99379033467422384</v>
      </c>
      <c r="AC111" s="23">
        <f t="shared" si="27"/>
        <v>0.99396344191958741</v>
      </c>
      <c r="AD111" s="23">
        <f t="shared" si="27"/>
        <v>0.99413225828466745</v>
      </c>
      <c r="AE111" s="23">
        <f t="shared" si="27"/>
        <v>0.99429687366704933</v>
      </c>
      <c r="AF111" s="23">
        <f t="shared" si="27"/>
        <v>0.99445737655691746</v>
      </c>
      <c r="AG111" s="23">
        <f t="shared" si="27"/>
        <v>0.99461385404593328</v>
      </c>
      <c r="AH111" s="23">
        <f t="shared" si="27"/>
        <v>0.99476639183644422</v>
      </c>
      <c r="AI111" s="23">
        <f t="shared" si="27"/>
        <v>0.994915074251009</v>
      </c>
      <c r="AJ111" s="23">
        <f t="shared" si="27"/>
        <v>0.99505998424222941</v>
      </c>
      <c r="AK111" s="24">
        <f t="shared" si="27"/>
        <v>0.99520120340287388</v>
      </c>
    </row>
    <row r="112" spans="2:43" x14ac:dyDescent="0.25">
      <c r="B112" s="2">
        <f t="shared" si="24"/>
        <v>-2.1999999999999984</v>
      </c>
      <c r="C112" s="2">
        <f t="shared" si="19"/>
        <v>3.547459284623157E-2</v>
      </c>
      <c r="D112" s="2">
        <f t="shared" si="20"/>
        <v>4.988494258010787E-5</v>
      </c>
      <c r="E112" s="2"/>
      <c r="F112" s="2">
        <f t="shared" si="21"/>
        <v>0.10892608851627537</v>
      </c>
      <c r="G112" s="29">
        <f t="shared" si="22"/>
        <v>1.3903447513498663E-2</v>
      </c>
      <c r="I112" s="2">
        <f t="shared" si="25"/>
        <v>48</v>
      </c>
      <c r="J112" s="2">
        <f t="shared" si="23"/>
        <v>1.9418605498321296E-2</v>
      </c>
      <c r="L112" s="29"/>
      <c r="M112" s="29"/>
      <c r="N112" s="29"/>
      <c r="O112" s="29"/>
      <c r="P112" s="29"/>
      <c r="Q112" s="29"/>
      <c r="AA112" s="19">
        <f t="shared" si="18"/>
        <v>2.600000000000001</v>
      </c>
      <c r="AB112" s="23">
        <f t="shared" si="27"/>
        <v>0.99533881197628127</v>
      </c>
      <c r="AC112" s="23">
        <f t="shared" si="27"/>
        <v>0.99547288886703267</v>
      </c>
      <c r="AD112" s="23">
        <f t="shared" si="27"/>
        <v>0.99560351165187866</v>
      </c>
      <c r="AE112" s="23">
        <f t="shared" si="27"/>
        <v>0.9957307565909107</v>
      </c>
      <c r="AF112" s="23">
        <f t="shared" si="27"/>
        <v>0.99585469863896392</v>
      </c>
      <c r="AG112" s="23">
        <f t="shared" si="27"/>
        <v>0.99597541145724167</v>
      </c>
      <c r="AH112" s="23">
        <f t="shared" si="27"/>
        <v>0.99609296742514719</v>
      </c>
      <c r="AI112" s="23">
        <f t="shared" si="27"/>
        <v>0.99620743765231456</v>
      </c>
      <c r="AJ112" s="23">
        <f t="shared" si="27"/>
        <v>0.99631889199082502</v>
      </c>
      <c r="AK112" s="24">
        <f t="shared" si="27"/>
        <v>0.99642739904760025</v>
      </c>
    </row>
    <row r="113" spans="2:37" x14ac:dyDescent="0.25">
      <c r="B113" s="2">
        <f t="shared" si="24"/>
        <v>-2.0999999999999983</v>
      </c>
      <c r="C113" s="2">
        <f t="shared" si="19"/>
        <v>4.3983595980427351E-2</v>
      </c>
      <c r="D113" s="2">
        <f t="shared" si="20"/>
        <v>1.1788613551308139E-4</v>
      </c>
      <c r="E113" s="2"/>
      <c r="F113" s="2">
        <f t="shared" si="21"/>
        <v>0.11494107034211662</v>
      </c>
      <c r="G113" s="29">
        <f t="shared" si="22"/>
        <v>1.7864420562816629E-2</v>
      </c>
      <c r="I113" s="2">
        <f t="shared" si="25"/>
        <v>49</v>
      </c>
      <c r="J113" s="2">
        <f t="shared" si="23"/>
        <v>2.1785217703255054E-2</v>
      </c>
      <c r="L113" s="29"/>
      <c r="M113" s="29"/>
      <c r="N113" s="29"/>
      <c r="O113" s="29"/>
      <c r="P113" s="29"/>
      <c r="Q113" s="29"/>
      <c r="AA113" s="19">
        <f t="shared" si="18"/>
        <v>2.7000000000000011</v>
      </c>
      <c r="AB113" s="23">
        <f t="shared" si="27"/>
        <v>0.99653302619695938</v>
      </c>
      <c r="AC113" s="23">
        <f t="shared" si="27"/>
        <v>0.9966358395933308</v>
      </c>
      <c r="AD113" s="23">
        <f t="shared" si="27"/>
        <v>0.99673590418410873</v>
      </c>
      <c r="AE113" s="23">
        <f t="shared" si="27"/>
        <v>0.99683328372264224</v>
      </c>
      <c r="AF113" s="23">
        <f t="shared" si="27"/>
        <v>0.99692804078134956</v>
      </c>
      <c r="AG113" s="23">
        <f t="shared" si="27"/>
        <v>0.99702023676494544</v>
      </c>
      <c r="AH113" s="23">
        <f t="shared" si="27"/>
        <v>0.99710993192377384</v>
      </c>
      <c r="AI113" s="23">
        <f t="shared" si="27"/>
        <v>0.99719718536723501</v>
      </c>
      <c r="AJ113" s="23">
        <f t="shared" si="27"/>
        <v>0.99728205507729872</v>
      </c>
      <c r="AK113" s="24">
        <f t="shared" si="27"/>
        <v>0.99736459792209509</v>
      </c>
    </row>
    <row r="114" spans="2:37" x14ac:dyDescent="0.25">
      <c r="B114" s="2">
        <f t="shared" si="24"/>
        <v>-1.9999999999999982</v>
      </c>
      <c r="C114" s="2">
        <f t="shared" si="19"/>
        <v>5.399096651318825E-2</v>
      </c>
      <c r="D114" s="2">
        <f t="shared" si="20"/>
        <v>2.6766045152977453E-4</v>
      </c>
      <c r="E114" s="2"/>
      <c r="F114" s="2">
        <f t="shared" si="21"/>
        <v>0.12098536225957179</v>
      </c>
      <c r="G114" s="29">
        <f t="shared" si="22"/>
        <v>2.2750131948179302E-2</v>
      </c>
      <c r="I114" s="2">
        <f t="shared" si="25"/>
        <v>50</v>
      </c>
      <c r="J114" s="2">
        <f t="shared" si="23"/>
        <v>2.4197072451914336E-2</v>
      </c>
      <c r="L114" s="29"/>
      <c r="M114" s="29"/>
      <c r="N114" s="29">
        <f>1-0.9938</f>
        <v>6.1999999999999833E-3</v>
      </c>
      <c r="O114" s="29"/>
      <c r="P114" s="29"/>
      <c r="Q114" s="29"/>
      <c r="AA114" s="19">
        <f t="shared" si="18"/>
        <v>2.8000000000000012</v>
      </c>
      <c r="AB114" s="23">
        <f t="shared" si="27"/>
        <v>0.99744486966957213</v>
      </c>
      <c r="AC114" s="23">
        <f t="shared" si="27"/>
        <v>0.9975229250012142</v>
      </c>
      <c r="AD114" s="23">
        <f t="shared" si="27"/>
        <v>0.99759881752581081</v>
      </c>
      <c r="AE114" s="23">
        <f t="shared" si="27"/>
        <v>0.9976725997932685</v>
      </c>
      <c r="AF114" s="23">
        <f t="shared" si="27"/>
        <v>0.99774432330845764</v>
      </c>
      <c r="AG114" s="23">
        <f t="shared" si="27"/>
        <v>0.99781403854508677</v>
      </c>
      <c r="AH114" s="23">
        <f t="shared" si="27"/>
        <v>0.99788179495959539</v>
      </c>
      <c r="AI114" s="23">
        <f t="shared" si="27"/>
        <v>0.99794764100506028</v>
      </c>
      <c r="AJ114" s="23">
        <f t="shared" si="27"/>
        <v>0.99801162414510569</v>
      </c>
      <c r="AK114" s="24">
        <f t="shared" si="27"/>
        <v>0.99807379086781212</v>
      </c>
    </row>
    <row r="115" spans="2:37" x14ac:dyDescent="0.25">
      <c r="B115" s="2">
        <f t="shared" si="24"/>
        <v>-1.8999999999999981</v>
      </c>
      <c r="C115" s="2">
        <f t="shared" si="19"/>
        <v>6.5615814774676831E-2</v>
      </c>
      <c r="D115" s="2">
        <f t="shared" si="20"/>
        <v>5.8389385158292889E-4</v>
      </c>
      <c r="E115" s="2"/>
      <c r="F115" s="2">
        <f t="shared" si="21"/>
        <v>0.12702952823459462</v>
      </c>
      <c r="G115" s="29">
        <f t="shared" si="22"/>
        <v>2.8716559816001928E-2</v>
      </c>
      <c r="I115" s="2">
        <f t="shared" si="25"/>
        <v>51</v>
      </c>
      <c r="J115" s="2">
        <f t="shared" si="23"/>
        <v>2.6608524989875482E-2</v>
      </c>
      <c r="L115" s="29"/>
      <c r="M115" s="29"/>
      <c r="N115" s="29"/>
      <c r="O115" s="29"/>
      <c r="P115" s="29"/>
      <c r="Q115" s="29"/>
      <c r="AA115" s="19">
        <f t="shared" si="18"/>
        <v>2.9000000000000012</v>
      </c>
      <c r="AB115" s="23">
        <f t="shared" si="27"/>
        <v>0.99813418669961596</v>
      </c>
      <c r="AC115" s="23">
        <f t="shared" si="27"/>
        <v>0.99819285621919362</v>
      </c>
      <c r="AD115" s="23">
        <f t="shared" si="27"/>
        <v>0.99824984307132392</v>
      </c>
      <c r="AE115" s="23">
        <f t="shared" si="27"/>
        <v>0.99830518998072271</v>
      </c>
      <c r="AF115" s="23">
        <f t="shared" si="27"/>
        <v>0.99835893876584303</v>
      </c>
      <c r="AG115" s="23">
        <f t="shared" si="27"/>
        <v>0.99841113035263518</v>
      </c>
      <c r="AH115" s="23">
        <f t="shared" si="27"/>
        <v>0.99846180478826196</v>
      </c>
      <c r="AI115" s="23">
        <f t="shared" si="27"/>
        <v>0.99851100125476255</v>
      </c>
      <c r="AJ115" s="23">
        <f t="shared" si="27"/>
        <v>0.99855875808266004</v>
      </c>
      <c r="AK115" s="24">
        <f t="shared" si="27"/>
        <v>0.99860511276450781</v>
      </c>
    </row>
    <row r="116" spans="2:37" x14ac:dyDescent="0.25">
      <c r="B116" s="2">
        <f t="shared" si="24"/>
        <v>-1.799999999999998</v>
      </c>
      <c r="C116" s="2">
        <f t="shared" si="19"/>
        <v>7.8950158300894427E-2</v>
      </c>
      <c r="D116" s="2">
        <f t="shared" si="20"/>
        <v>1.2238038602275614E-3</v>
      </c>
      <c r="E116" s="2"/>
      <c r="F116" s="2">
        <f t="shared" si="21"/>
        <v>0.13304262494937752</v>
      </c>
      <c r="G116" s="29">
        <f t="shared" si="22"/>
        <v>3.5930319112925969E-2</v>
      </c>
      <c r="I116" s="2">
        <f t="shared" si="25"/>
        <v>52</v>
      </c>
      <c r="J116" s="2">
        <f t="shared" si="23"/>
        <v>2.8969155276148274E-2</v>
      </c>
      <c r="L116" s="29"/>
      <c r="M116" s="29"/>
      <c r="N116" s="29"/>
      <c r="O116" s="29"/>
      <c r="P116" s="29"/>
      <c r="Q116" s="29"/>
      <c r="AA116" s="20">
        <f t="shared" si="18"/>
        <v>3.0000000000000013</v>
      </c>
      <c r="AB116" s="26">
        <f t="shared" si="27"/>
        <v>0.9986501019683699</v>
      </c>
      <c r="AC116" s="26">
        <f t="shared" si="27"/>
        <v>0.99869376155123057</v>
      </c>
      <c r="AD116" s="26">
        <f t="shared" si="27"/>
        <v>0.99873612657232769</v>
      </c>
      <c r="AE116" s="26">
        <f t="shared" si="27"/>
        <v>0.99877723130640772</v>
      </c>
      <c r="AF116" s="26">
        <f t="shared" si="27"/>
        <v>0.9988171092568956</v>
      </c>
      <c r="AG116" s="26">
        <f t="shared" si="27"/>
        <v>0.99885579316897732</v>
      </c>
      <c r="AH116" s="26">
        <f t="shared" si="27"/>
        <v>0.99889331504259071</v>
      </c>
      <c r="AI116" s="26">
        <f t="shared" si="27"/>
        <v>0.99892970614532106</v>
      </c>
      <c r="AJ116" s="26">
        <f t="shared" si="27"/>
        <v>0.99896499702519714</v>
      </c>
      <c r="AK116" s="27">
        <f t="shared" si="27"/>
        <v>0.99899921752338594</v>
      </c>
    </row>
    <row r="117" spans="2:37" x14ac:dyDescent="0.25">
      <c r="B117" s="2">
        <f t="shared" si="24"/>
        <v>-1.699999999999998</v>
      </c>
      <c r="C117" s="2">
        <f t="shared" si="19"/>
        <v>9.4049077376887252E-2</v>
      </c>
      <c r="D117" s="2">
        <f t="shared" si="20"/>
        <v>2.4644383369460728E-3</v>
      </c>
      <c r="E117" s="2"/>
      <c r="F117" s="2">
        <f t="shared" si="21"/>
        <v>0.13899244306549835</v>
      </c>
      <c r="G117" s="29">
        <f t="shared" si="22"/>
        <v>4.4565462758543194E-2</v>
      </c>
      <c r="I117" s="2">
        <f t="shared" si="25"/>
        <v>53</v>
      </c>
      <c r="J117" s="2">
        <f t="shared" si="23"/>
        <v>3.1225393336676129E-2</v>
      </c>
      <c r="L117" s="29"/>
      <c r="M117" s="29"/>
      <c r="N117" s="29"/>
      <c r="O117" s="29"/>
      <c r="P117" s="29"/>
      <c r="Q117" s="29"/>
    </row>
    <row r="118" spans="2:37" x14ac:dyDescent="0.25">
      <c r="B118" s="2">
        <f t="shared" si="24"/>
        <v>-1.5999999999999979</v>
      </c>
      <c r="C118" s="2">
        <f t="shared" si="19"/>
        <v>0.11092083467945592</v>
      </c>
      <c r="D118" s="2">
        <f t="shared" si="20"/>
        <v>4.7681764029297484E-3</v>
      </c>
      <c r="E118" s="2"/>
      <c r="F118" s="2">
        <f t="shared" si="21"/>
        <v>0.1448457763807415</v>
      </c>
      <c r="G118" s="29">
        <f t="shared" si="22"/>
        <v>5.4799291699558203E-2</v>
      </c>
      <c r="I118" s="2">
        <f t="shared" si="25"/>
        <v>54</v>
      </c>
      <c r="J118" s="2">
        <f t="shared" si="23"/>
        <v>3.3322460289179963E-2</v>
      </c>
      <c r="L118" s="29"/>
      <c r="M118" s="29"/>
      <c r="N118" s="29"/>
      <c r="O118" s="29"/>
      <c r="P118" s="29"/>
      <c r="Q118" s="29"/>
    </row>
    <row r="119" spans="2:37" x14ac:dyDescent="0.25">
      <c r="B119" s="2">
        <f t="shared" si="24"/>
        <v>-1.4999999999999978</v>
      </c>
      <c r="C119" s="2">
        <f t="shared" si="19"/>
        <v>0.12951759566589216</v>
      </c>
      <c r="D119" s="2">
        <f t="shared" si="20"/>
        <v>8.863696823876133E-3</v>
      </c>
      <c r="E119" s="2"/>
      <c r="F119" s="2">
        <f t="shared" si="21"/>
        <v>0.15056871607740235</v>
      </c>
      <c r="G119" s="29">
        <f t="shared" si="22"/>
        <v>6.6807201268858321E-2</v>
      </c>
      <c r="I119" s="2">
        <f t="shared" si="25"/>
        <v>55</v>
      </c>
      <c r="J119" s="2">
        <f t="shared" si="23"/>
        <v>3.5206532676429952E-2</v>
      </c>
      <c r="L119" s="29"/>
      <c r="M119" s="29"/>
      <c r="N119" s="29"/>
      <c r="O119" s="29"/>
      <c r="P119" s="29"/>
      <c r="Q119" s="29"/>
    </row>
    <row r="120" spans="2:37" x14ac:dyDescent="0.25">
      <c r="B120" s="2">
        <f t="shared" si="24"/>
        <v>-1.3999999999999977</v>
      </c>
      <c r="C120" s="2">
        <f t="shared" si="19"/>
        <v>0.14972746563574535</v>
      </c>
      <c r="D120" s="2">
        <f t="shared" si="20"/>
        <v>1.5830903165960131E-2</v>
      </c>
      <c r="E120" s="2"/>
      <c r="F120" s="2">
        <f t="shared" si="21"/>
        <v>0.15612696668338077</v>
      </c>
      <c r="G120" s="29">
        <f t="shared" si="22"/>
        <v>8.0756659233771386E-2</v>
      </c>
      <c r="I120" s="2">
        <f t="shared" si="25"/>
        <v>56</v>
      </c>
      <c r="J120" s="2">
        <f t="shared" si="23"/>
        <v>3.6827014030332332E-2</v>
      </c>
      <c r="L120" s="29"/>
      <c r="M120" s="29"/>
      <c r="N120" s="29"/>
      <c r="O120" s="29"/>
      <c r="P120" s="29"/>
      <c r="Q120" s="29"/>
    </row>
    <row r="121" spans="2:37" x14ac:dyDescent="0.25">
      <c r="B121" s="2">
        <f t="shared" si="24"/>
        <v>-1.2999999999999976</v>
      </c>
      <c r="C121" s="2">
        <f t="shared" si="19"/>
        <v>0.17136859204780791</v>
      </c>
      <c r="D121" s="2">
        <f t="shared" si="20"/>
        <v>2.7165938467371576E-2</v>
      </c>
      <c r="E121" s="2"/>
      <c r="F121" s="2">
        <f t="shared" si="21"/>
        <v>0.16148617983395727</v>
      </c>
      <c r="G121" s="29">
        <f t="shared" si="22"/>
        <v>9.6800484585610733E-2</v>
      </c>
      <c r="I121" s="2">
        <f t="shared" si="25"/>
        <v>57</v>
      </c>
      <c r="J121" s="2">
        <f t="shared" si="23"/>
        <v>3.8138781546052408E-2</v>
      </c>
    </row>
    <row r="122" spans="2:37" x14ac:dyDescent="0.25">
      <c r="B122" s="2">
        <f t="shared" si="24"/>
        <v>-1.1999999999999975</v>
      </c>
      <c r="C122" s="2">
        <f t="shared" si="19"/>
        <v>0.19418605498321354</v>
      </c>
      <c r="D122" s="2">
        <f t="shared" si="20"/>
        <v>4.4789060589686333E-2</v>
      </c>
      <c r="E122" s="2"/>
      <c r="F122" s="2">
        <f t="shared" si="21"/>
        <v>0.16661230144589995</v>
      </c>
      <c r="G122" s="29">
        <f t="shared" si="22"/>
        <v>0.11506967022170875</v>
      </c>
      <c r="I122" s="2">
        <f t="shared" si="25"/>
        <v>58</v>
      </c>
      <c r="J122" s="2">
        <f t="shared" si="23"/>
        <v>3.9104269397545591E-2</v>
      </c>
    </row>
    <row r="123" spans="2:37" x14ac:dyDescent="0.25">
      <c r="B123" s="2">
        <f t="shared" si="24"/>
        <v>-1.0999999999999974</v>
      </c>
      <c r="C123" s="2">
        <f t="shared" si="19"/>
        <v>0.21785217703255116</v>
      </c>
      <c r="D123" s="2">
        <f t="shared" si="20"/>
        <v>7.0949185692463668E-2</v>
      </c>
      <c r="E123" s="2"/>
      <c r="F123" s="2">
        <f t="shared" si="21"/>
        <v>0.17147192750969206</v>
      </c>
      <c r="G123" s="29">
        <f t="shared" si="22"/>
        <v>0.1356660609463832</v>
      </c>
      <c r="I123" s="2">
        <f t="shared" si="25"/>
        <v>59</v>
      </c>
      <c r="J123" s="2">
        <f t="shared" si="23"/>
        <v>3.9695254747701178E-2</v>
      </c>
    </row>
    <row r="124" spans="2:37" x14ac:dyDescent="0.25">
      <c r="B124" s="2">
        <f t="shared" si="24"/>
        <v>-0.99999999999999745</v>
      </c>
      <c r="C124" s="2">
        <f t="shared" si="19"/>
        <v>0.24197072451914398</v>
      </c>
      <c r="D124" s="2">
        <f t="shared" si="20"/>
        <v>0.10798193302637721</v>
      </c>
      <c r="E124" s="2"/>
      <c r="F124" s="2">
        <f t="shared" si="21"/>
        <v>0.17603266338214987</v>
      </c>
      <c r="G124" s="29">
        <f t="shared" si="22"/>
        <v>0.1586552539314576</v>
      </c>
      <c r="I124" s="2">
        <f t="shared" si="25"/>
        <v>60</v>
      </c>
      <c r="J124" s="2">
        <f t="shared" si="23"/>
        <v>3.9894228040143274E-2</v>
      </c>
    </row>
    <row r="125" spans="2:37" x14ac:dyDescent="0.25">
      <c r="B125" s="2">
        <f t="shared" si="24"/>
        <v>-0.89999999999999747</v>
      </c>
      <c r="C125" s="2">
        <f t="shared" si="19"/>
        <v>0.26608524989875543</v>
      </c>
      <c r="D125" s="2">
        <f t="shared" si="20"/>
        <v>0.1579003166017898</v>
      </c>
      <c r="E125" s="2"/>
      <c r="F125" s="2">
        <f t="shared" si="21"/>
        <v>0.18026348123082409</v>
      </c>
      <c r="G125" s="29">
        <f t="shared" si="22"/>
        <v>0.18406012534676011</v>
      </c>
      <c r="I125" s="2">
        <f t="shared" si="25"/>
        <v>61</v>
      </c>
      <c r="J125" s="2">
        <f t="shared" si="23"/>
        <v>3.9695254747701178E-2</v>
      </c>
    </row>
    <row r="126" spans="2:37" x14ac:dyDescent="0.25">
      <c r="B126" s="2">
        <f t="shared" si="24"/>
        <v>-0.79999999999999749</v>
      </c>
      <c r="C126" s="2">
        <f t="shared" si="19"/>
        <v>0.28969155276148334</v>
      </c>
      <c r="D126" s="2">
        <f t="shared" si="20"/>
        <v>0.22184166935891292</v>
      </c>
      <c r="E126" s="2"/>
      <c r="F126" s="2">
        <f t="shared" si="21"/>
        <v>0.18413507015166175</v>
      </c>
      <c r="G126" s="29">
        <f t="shared" si="22"/>
        <v>0.21185539858339739</v>
      </c>
      <c r="I126" s="2">
        <f t="shared" si="25"/>
        <v>62</v>
      </c>
      <c r="J126" s="2">
        <f t="shared" si="23"/>
        <v>3.9104269397545591E-2</v>
      </c>
    </row>
    <row r="127" spans="2:37" x14ac:dyDescent="0.25">
      <c r="B127" s="2">
        <f t="shared" si="24"/>
        <v>-0.69999999999999751</v>
      </c>
      <c r="C127" s="2">
        <f t="shared" si="19"/>
        <v>0.31225393336676183</v>
      </c>
      <c r="D127" s="2">
        <f t="shared" si="20"/>
        <v>0.29945493127149181</v>
      </c>
      <c r="E127" s="2"/>
      <c r="F127" s="2">
        <f t="shared" si="21"/>
        <v>0.18762017345846904</v>
      </c>
      <c r="G127" s="29">
        <f t="shared" si="22"/>
        <v>0.24196365222307376</v>
      </c>
      <c r="I127" s="2">
        <f t="shared" si="25"/>
        <v>63</v>
      </c>
      <c r="J127" s="2">
        <f t="shared" si="23"/>
        <v>3.8138781546052408E-2</v>
      </c>
    </row>
    <row r="128" spans="2:37" x14ac:dyDescent="0.25">
      <c r="B128" s="2">
        <f t="shared" si="24"/>
        <v>-0.59999999999999754</v>
      </c>
      <c r="C128" s="2">
        <f t="shared" si="19"/>
        <v>0.33322460289180011</v>
      </c>
      <c r="D128" s="2">
        <f t="shared" si="20"/>
        <v>0.38837210996642818</v>
      </c>
      <c r="E128" s="2">
        <f t="shared" ref="E128:E158" si="28">_xlfn.NORM.DIST(B128,2,1,FALSE)</f>
        <v>1.358296923368571E-2</v>
      </c>
      <c r="F128" s="2">
        <f t="shared" si="21"/>
        <v>0.19069390773026212</v>
      </c>
      <c r="G128" s="29">
        <f t="shared" si="22"/>
        <v>0.27425311775007433</v>
      </c>
      <c r="I128" s="2">
        <f t="shared" si="25"/>
        <v>64</v>
      </c>
      <c r="J128" s="2">
        <f t="shared" si="23"/>
        <v>3.6827014030332332E-2</v>
      </c>
    </row>
    <row r="129" spans="2:10" x14ac:dyDescent="0.25">
      <c r="B129" s="2">
        <f t="shared" si="24"/>
        <v>-0.49999999999999756</v>
      </c>
      <c r="C129" s="2">
        <f t="shared" si="19"/>
        <v>0.35206532676429991</v>
      </c>
      <c r="D129" s="2">
        <f t="shared" si="20"/>
        <v>0.48394144903828912</v>
      </c>
      <c r="E129" s="2">
        <f t="shared" si="28"/>
        <v>1.7528300493568655E-2</v>
      </c>
      <c r="F129" s="2">
        <f t="shared" si="21"/>
        <v>0.19333405840142467</v>
      </c>
      <c r="G129" s="29">
        <f t="shared" si="22"/>
        <v>0.30853753872598771</v>
      </c>
      <c r="I129" s="2">
        <f t="shared" ref="I129:I145" si="29">I128+$H$94</f>
        <v>65</v>
      </c>
      <c r="J129" s="2">
        <f t="shared" si="23"/>
        <v>3.5206532676429952E-2</v>
      </c>
    </row>
    <row r="130" spans="2:10" x14ac:dyDescent="0.25">
      <c r="B130" s="2">
        <f t="shared" si="24"/>
        <v>-0.39999999999999758</v>
      </c>
      <c r="C130" s="2">
        <f t="shared" si="19"/>
        <v>0.36827014030332367</v>
      </c>
      <c r="D130" s="2">
        <f t="shared" si="20"/>
        <v>0.57938310552296779</v>
      </c>
      <c r="E130" s="2">
        <f t="shared" si="28"/>
        <v>2.2394530294843017E-2</v>
      </c>
      <c r="F130" s="2">
        <f t="shared" si="21"/>
        <v>0.195521346987728</v>
      </c>
      <c r="G130" s="29">
        <f t="shared" si="22"/>
        <v>0.34457825838967671</v>
      </c>
      <c r="I130" s="2">
        <f t="shared" si="29"/>
        <v>66</v>
      </c>
      <c r="J130" s="2">
        <f t="shared" si="23"/>
        <v>3.3322460289179963E-2</v>
      </c>
    </row>
    <row r="131" spans="2:10" x14ac:dyDescent="0.25">
      <c r="B131" s="2">
        <f t="shared" si="24"/>
        <v>-0.2999999999999976</v>
      </c>
      <c r="C131" s="2">
        <f t="shared" si="19"/>
        <v>0.38138781546052442</v>
      </c>
      <c r="D131" s="2">
        <f t="shared" si="20"/>
        <v>0.66644920578360123</v>
      </c>
      <c r="E131" s="2">
        <f t="shared" si="28"/>
        <v>2.8327037741601325E-2</v>
      </c>
      <c r="F131" s="2">
        <f t="shared" si="21"/>
        <v>0.1972396654539445</v>
      </c>
      <c r="G131" s="29">
        <f t="shared" si="22"/>
        <v>0.38208857781104827</v>
      </c>
      <c r="I131" s="2">
        <f t="shared" si="29"/>
        <v>67</v>
      </c>
      <c r="J131" s="2">
        <f t="shared" si="23"/>
        <v>3.1225393336676129E-2</v>
      </c>
    </row>
    <row r="132" spans="2:10" x14ac:dyDescent="0.25">
      <c r="B132" s="2">
        <f t="shared" si="24"/>
        <v>-0.1999999999999976</v>
      </c>
      <c r="C132" s="2">
        <f t="shared" si="19"/>
        <v>0.3910426939754561</v>
      </c>
      <c r="D132" s="2">
        <f t="shared" si="20"/>
        <v>0.73654028060664811</v>
      </c>
      <c r="E132" s="2">
        <f t="shared" si="28"/>
        <v>3.5474592846231626E-2</v>
      </c>
      <c r="F132" s="2">
        <f t="shared" si="21"/>
        <v>0.19847627373850593</v>
      </c>
      <c r="G132" s="29">
        <f t="shared" si="22"/>
        <v>0.4207402905608979</v>
      </c>
      <c r="I132" s="2">
        <f t="shared" si="29"/>
        <v>68</v>
      </c>
      <c r="J132" s="2">
        <f t="shared" si="23"/>
        <v>2.8969155276148274E-2</v>
      </c>
    </row>
    <row r="133" spans="2:10" x14ac:dyDescent="0.25">
      <c r="B133" s="2">
        <f t="shared" si="24"/>
        <v>-9.9999999999997591E-2</v>
      </c>
      <c r="C133" s="2">
        <f t="shared" si="19"/>
        <v>0.39695254747701186</v>
      </c>
      <c r="D133" s="2">
        <f t="shared" si="20"/>
        <v>0.78208538795091254</v>
      </c>
      <c r="E133" s="2">
        <f t="shared" si="28"/>
        <v>4.3983595980427427E-2</v>
      </c>
      <c r="F133" s="2">
        <f t="shared" si="21"/>
        <v>0.19922195704738202</v>
      </c>
      <c r="G133" s="29">
        <f t="shared" si="22"/>
        <v>0.46017216272297196</v>
      </c>
      <c r="I133" s="2">
        <f t="shared" si="29"/>
        <v>69</v>
      </c>
      <c r="J133" s="2">
        <f t="shared" si="23"/>
        <v>2.6608524989875482E-2</v>
      </c>
    </row>
    <row r="134" spans="2:10" x14ac:dyDescent="0.25">
      <c r="B134" s="2">
        <f t="shared" si="24"/>
        <v>2.4147350785597155E-15</v>
      </c>
      <c r="C134" s="2">
        <f t="shared" si="19"/>
        <v>0.3989422804014327</v>
      </c>
      <c r="D134" s="2">
        <f t="shared" si="20"/>
        <v>0.79788456080286541</v>
      </c>
      <c r="E134" s="2">
        <f t="shared" si="28"/>
        <v>5.3990966513188313E-2</v>
      </c>
      <c r="F134" s="2">
        <f t="shared" si="21"/>
        <v>0.19947114020071635</v>
      </c>
      <c r="G134" s="29">
        <f t="shared" si="22"/>
        <v>0.50000000000000089</v>
      </c>
      <c r="I134" s="2">
        <f t="shared" si="29"/>
        <v>70</v>
      </c>
      <c r="J134" s="2">
        <f t="shared" si="23"/>
        <v>2.4197072451914336E-2</v>
      </c>
    </row>
    <row r="135" spans="2:10" x14ac:dyDescent="0.25">
      <c r="B135" s="2">
        <f t="shared" si="24"/>
        <v>0.10000000000000242</v>
      </c>
      <c r="C135" s="2">
        <f t="shared" si="19"/>
        <v>0.3969525474770117</v>
      </c>
      <c r="D135" s="2">
        <f t="shared" si="20"/>
        <v>0.78208538795091109</v>
      </c>
      <c r="E135" s="2">
        <f t="shared" si="28"/>
        <v>6.5615814774676873E-2</v>
      </c>
      <c r="F135" s="2">
        <f t="shared" si="21"/>
        <v>0.19922195704738199</v>
      </c>
      <c r="G135" s="29">
        <f t="shared" si="22"/>
        <v>0.53982783727702999</v>
      </c>
      <c r="I135" s="2">
        <f t="shared" si="29"/>
        <v>71</v>
      </c>
      <c r="J135" s="2">
        <f t="shared" si="23"/>
        <v>2.1785217703255054E-2</v>
      </c>
    </row>
    <row r="136" spans="2:10" x14ac:dyDescent="0.25">
      <c r="B136" s="2">
        <f t="shared" si="24"/>
        <v>0.20000000000000243</v>
      </c>
      <c r="C136" s="2">
        <f t="shared" si="19"/>
        <v>0.39104269397545571</v>
      </c>
      <c r="D136" s="2">
        <f t="shared" si="20"/>
        <v>0.73654028060664523</v>
      </c>
      <c r="E136" s="2">
        <f t="shared" si="28"/>
        <v>7.895015830089451E-2</v>
      </c>
      <c r="F136" s="2">
        <f t="shared" si="21"/>
        <v>0.19847627373850588</v>
      </c>
      <c r="G136" s="29">
        <f t="shared" si="22"/>
        <v>0.57925970943910399</v>
      </c>
      <c r="I136" s="2">
        <f t="shared" si="29"/>
        <v>72</v>
      </c>
      <c r="J136" s="2">
        <f t="shared" si="23"/>
        <v>1.9418605498321296E-2</v>
      </c>
    </row>
    <row r="137" spans="2:10" x14ac:dyDescent="0.25">
      <c r="B137" s="2">
        <f t="shared" si="24"/>
        <v>0.30000000000000243</v>
      </c>
      <c r="C137" s="2">
        <f t="shared" si="19"/>
        <v>0.3813878154605238</v>
      </c>
      <c r="D137" s="2">
        <f t="shared" si="20"/>
        <v>0.66644920578359734</v>
      </c>
      <c r="E137" s="2">
        <f t="shared" si="28"/>
        <v>9.4049077376887322E-2</v>
      </c>
      <c r="F137" s="2">
        <f t="shared" si="21"/>
        <v>0.19723966545394442</v>
      </c>
      <c r="G137" s="29">
        <f t="shared" si="22"/>
        <v>0.61791142218895356</v>
      </c>
      <c r="I137" s="2">
        <f t="shared" si="29"/>
        <v>73</v>
      </c>
      <c r="J137" s="2">
        <f t="shared" si="23"/>
        <v>1.7136859204780735E-2</v>
      </c>
    </row>
    <row r="138" spans="2:10" x14ac:dyDescent="0.25">
      <c r="B138" s="2">
        <f t="shared" si="24"/>
        <v>0.40000000000000246</v>
      </c>
      <c r="C138" s="2">
        <f t="shared" si="19"/>
        <v>0.36827014030332295</v>
      </c>
      <c r="D138" s="2">
        <f t="shared" si="20"/>
        <v>0.57938310552296324</v>
      </c>
      <c r="E138" s="2">
        <f t="shared" si="28"/>
        <v>0.11092083467945603</v>
      </c>
      <c r="F138" s="2">
        <f t="shared" si="21"/>
        <v>0.19552134698772788</v>
      </c>
      <c r="G138" s="29">
        <f t="shared" si="22"/>
        <v>0.65542174161032518</v>
      </c>
      <c r="I138" s="2">
        <f t="shared" si="29"/>
        <v>74</v>
      </c>
      <c r="J138" s="2">
        <f t="shared" si="23"/>
        <v>1.4972746563574486E-2</v>
      </c>
    </row>
    <row r="139" spans="2:10" x14ac:dyDescent="0.25">
      <c r="B139" s="2">
        <f t="shared" si="24"/>
        <v>0.50000000000000244</v>
      </c>
      <c r="C139" s="2">
        <f t="shared" si="19"/>
        <v>0.35206532676429908</v>
      </c>
      <c r="D139" s="2">
        <f t="shared" si="20"/>
        <v>0.48394144903828434</v>
      </c>
      <c r="E139" s="2">
        <f t="shared" si="28"/>
        <v>0.12951759566589222</v>
      </c>
      <c r="F139" s="2">
        <f t="shared" si="21"/>
        <v>0.19333405840142456</v>
      </c>
      <c r="G139" s="29">
        <f t="shared" si="22"/>
        <v>0.69146246127401401</v>
      </c>
      <c r="I139" s="2">
        <f t="shared" si="29"/>
        <v>75</v>
      </c>
      <c r="J139" s="2">
        <f t="shared" si="23"/>
        <v>1.2951759566589173E-2</v>
      </c>
    </row>
    <row r="140" spans="2:10" x14ac:dyDescent="0.25">
      <c r="B140" s="2">
        <f t="shared" si="24"/>
        <v>0.60000000000000242</v>
      </c>
      <c r="C140" s="2">
        <f t="shared" si="19"/>
        <v>0.33322460289179917</v>
      </c>
      <c r="D140" s="2">
        <f t="shared" si="20"/>
        <v>0.38837210996642363</v>
      </c>
      <c r="E140" s="2">
        <f t="shared" si="28"/>
        <v>0.14972746563574535</v>
      </c>
      <c r="F140" s="2">
        <f t="shared" si="21"/>
        <v>0.19069390773026199</v>
      </c>
      <c r="G140" s="29">
        <f t="shared" si="22"/>
        <v>0.72574688224992723</v>
      </c>
      <c r="I140" s="2">
        <f t="shared" si="29"/>
        <v>76</v>
      </c>
      <c r="J140" s="2">
        <f t="shared" si="23"/>
        <v>1.1092083467945555E-2</v>
      </c>
    </row>
    <row r="141" spans="2:10" x14ac:dyDescent="0.25">
      <c r="B141" s="2">
        <f t="shared" si="24"/>
        <v>0.7000000000000024</v>
      </c>
      <c r="C141" s="2">
        <f t="shared" si="19"/>
        <v>0.31225393336676072</v>
      </c>
      <c r="D141" s="2">
        <f t="shared" si="20"/>
        <v>0.2994549312714877</v>
      </c>
      <c r="E141" s="2">
        <f t="shared" si="28"/>
        <v>0.17136859204780791</v>
      </c>
      <c r="F141" s="2">
        <f t="shared" si="21"/>
        <v>0.18762017345846888</v>
      </c>
      <c r="G141" s="29">
        <f t="shared" si="22"/>
        <v>0.75803634777692785</v>
      </c>
      <c r="I141" s="2">
        <f t="shared" si="29"/>
        <v>77</v>
      </c>
      <c r="J141" s="2">
        <f t="shared" si="23"/>
        <v>9.4049077376886937E-3</v>
      </c>
    </row>
    <row r="142" spans="2:10" x14ac:dyDescent="0.25">
      <c r="B142" s="2">
        <f t="shared" si="24"/>
        <v>0.80000000000000238</v>
      </c>
      <c r="C142" s="2">
        <f t="shared" si="19"/>
        <v>0.28969155276148217</v>
      </c>
      <c r="D142" s="2">
        <f t="shared" si="20"/>
        <v>0.22184166935890945</v>
      </c>
      <c r="E142" s="2">
        <f t="shared" si="28"/>
        <v>0.19418605498321354</v>
      </c>
      <c r="F142" s="2">
        <f t="shared" si="21"/>
        <v>0.18413507015166158</v>
      </c>
      <c r="G142" s="29">
        <f t="shared" si="22"/>
        <v>0.78814460141660403</v>
      </c>
      <c r="I142" s="2">
        <f t="shared" si="29"/>
        <v>78</v>
      </c>
      <c r="J142" s="2">
        <f t="shared" si="23"/>
        <v>7.8950158300894139E-3</v>
      </c>
    </row>
    <row r="143" spans="2:10" x14ac:dyDescent="0.25">
      <c r="B143" s="2">
        <f t="shared" si="24"/>
        <v>0.90000000000000235</v>
      </c>
      <c r="C143" s="2">
        <f t="shared" si="19"/>
        <v>0.26608524989875426</v>
      </c>
      <c r="D143" s="2">
        <f t="shared" si="20"/>
        <v>0.15790031660178697</v>
      </c>
      <c r="E143" s="2">
        <f t="shared" si="28"/>
        <v>0.21785217703255111</v>
      </c>
      <c r="F143" s="2">
        <f t="shared" si="21"/>
        <v>0.18026348123082389</v>
      </c>
      <c r="G143" s="29">
        <f t="shared" si="22"/>
        <v>0.81593987465324114</v>
      </c>
      <c r="I143" s="2">
        <f t="shared" si="29"/>
        <v>79</v>
      </c>
      <c r="J143" s="2">
        <f t="shared" si="23"/>
        <v>6.5615814774676604E-3</v>
      </c>
    </row>
    <row r="144" spans="2:10" x14ac:dyDescent="0.25">
      <c r="B144" s="2">
        <f t="shared" si="24"/>
        <v>1.0000000000000024</v>
      </c>
      <c r="C144" s="2">
        <f t="shared" si="19"/>
        <v>0.24197072451914278</v>
      </c>
      <c r="D144" s="2">
        <f t="shared" si="20"/>
        <v>0.10798193302637506</v>
      </c>
      <c r="E144" s="2">
        <f t="shared" si="28"/>
        <v>0.24197072451914395</v>
      </c>
      <c r="F144" s="2">
        <f t="shared" si="21"/>
        <v>0.17603266338214965</v>
      </c>
      <c r="G144" s="29">
        <f t="shared" si="22"/>
        <v>0.84134474606854359</v>
      </c>
      <c r="I144" s="2">
        <f t="shared" si="29"/>
        <v>80</v>
      </c>
      <c r="J144" s="2">
        <f t="shared" si="23"/>
        <v>5.3990966513188061E-3</v>
      </c>
    </row>
    <row r="145" spans="2:10" x14ac:dyDescent="0.25">
      <c r="B145" s="2">
        <f t="shared" si="24"/>
        <v>1.1000000000000025</v>
      </c>
      <c r="C145" s="2">
        <f t="shared" si="19"/>
        <v>0.21785217703254997</v>
      </c>
      <c r="D145" s="2">
        <f t="shared" si="20"/>
        <v>7.0949185692462099E-2</v>
      </c>
      <c r="E145" s="2">
        <f t="shared" si="28"/>
        <v>0.26608524989875543</v>
      </c>
      <c r="F145" s="2">
        <f t="shared" si="21"/>
        <v>0.17147192750969184</v>
      </c>
      <c r="G145" s="29">
        <f t="shared" si="22"/>
        <v>0.86433393905361788</v>
      </c>
      <c r="I145" s="2">
        <f t="shared" si="29"/>
        <v>81</v>
      </c>
      <c r="J145" s="2">
        <f t="shared" si="23"/>
        <v>4.3983595980427196E-3</v>
      </c>
    </row>
    <row r="146" spans="2:10" x14ac:dyDescent="0.25">
      <c r="B146" s="2">
        <f t="shared" si="24"/>
        <v>1.2000000000000026</v>
      </c>
      <c r="C146" s="2">
        <f t="shared" si="19"/>
        <v>0.19418605498321231</v>
      </c>
      <c r="D146" s="2">
        <f t="shared" si="20"/>
        <v>4.4789060589685223E-2</v>
      </c>
      <c r="E146" s="2">
        <f t="shared" si="28"/>
        <v>0.2896915527614834</v>
      </c>
      <c r="F146" s="2">
        <f t="shared" si="21"/>
        <v>0.1666123014458997</v>
      </c>
      <c r="G146" s="29">
        <f t="shared" si="22"/>
        <v>0.88493032977829222</v>
      </c>
      <c r="I146" s="2">
        <f t="shared" ref="I146:I154" si="30">I145+$H$94</f>
        <v>82</v>
      </c>
      <c r="J146" s="2">
        <f t="shared" si="23"/>
        <v>3.5474592846231421E-3</v>
      </c>
    </row>
    <row r="147" spans="2:10" x14ac:dyDescent="0.25">
      <c r="B147" s="2">
        <f t="shared" si="24"/>
        <v>1.3000000000000027</v>
      </c>
      <c r="C147" s="2">
        <f t="shared" si="19"/>
        <v>0.17136859204780677</v>
      </c>
      <c r="D147" s="2">
        <f t="shared" si="20"/>
        <v>2.7165938467370851E-2</v>
      </c>
      <c r="E147" s="2">
        <f t="shared" si="28"/>
        <v>0.31225393336676188</v>
      </c>
      <c r="F147" s="2">
        <f t="shared" si="21"/>
        <v>0.16148617983395702</v>
      </c>
      <c r="G147" s="29">
        <f t="shared" si="22"/>
        <v>0.90319951541439014</v>
      </c>
      <c r="I147" s="2">
        <f t="shared" si="30"/>
        <v>83</v>
      </c>
      <c r="J147" s="2">
        <f t="shared" si="23"/>
        <v>2.8327037741601186E-3</v>
      </c>
    </row>
    <row r="148" spans="2:10" x14ac:dyDescent="0.25">
      <c r="B148" s="2">
        <f t="shared" si="24"/>
        <v>1.4000000000000028</v>
      </c>
      <c r="C148" s="2">
        <f t="shared" si="19"/>
        <v>0.14972746563574427</v>
      </c>
      <c r="D148" s="2">
        <f t="shared" si="20"/>
        <v>1.583090316595968E-2</v>
      </c>
      <c r="E148" s="2">
        <f t="shared" si="28"/>
        <v>0.33322460289180023</v>
      </c>
      <c r="F148" s="2">
        <f t="shared" si="21"/>
        <v>0.15612696668338047</v>
      </c>
      <c r="G148" s="29">
        <f t="shared" si="22"/>
        <v>0.91924334076622938</v>
      </c>
      <c r="I148" s="2">
        <f t="shared" si="30"/>
        <v>84</v>
      </c>
      <c r="J148" s="2">
        <f t="shared" si="23"/>
        <v>2.2394530294842902E-3</v>
      </c>
    </row>
    <row r="149" spans="2:10" x14ac:dyDescent="0.25">
      <c r="B149" s="2">
        <f t="shared" si="24"/>
        <v>1.5000000000000029</v>
      </c>
      <c r="C149" s="2">
        <f t="shared" si="19"/>
        <v>0.12951759566589116</v>
      </c>
      <c r="D149" s="2">
        <f t="shared" si="20"/>
        <v>8.8636968238758572E-3</v>
      </c>
      <c r="E149" s="2">
        <f t="shared" si="28"/>
        <v>0.35206532676430002</v>
      </c>
      <c r="F149" s="2">
        <f t="shared" si="21"/>
        <v>0.15056871607740205</v>
      </c>
      <c r="G149" s="29">
        <f t="shared" si="22"/>
        <v>0.93319279873114236</v>
      </c>
      <c r="I149" s="2">
        <f t="shared" si="30"/>
        <v>85</v>
      </c>
      <c r="J149" s="2">
        <f t="shared" si="23"/>
        <v>1.752830049356854E-3</v>
      </c>
    </row>
    <row r="150" spans="2:10" x14ac:dyDescent="0.25">
      <c r="B150" s="2">
        <f t="shared" si="24"/>
        <v>1.600000000000003</v>
      </c>
      <c r="C150" s="2">
        <f t="shared" si="19"/>
        <v>0.11092083467945503</v>
      </c>
      <c r="D150" s="2">
        <f t="shared" si="20"/>
        <v>4.7681764029295966E-3</v>
      </c>
      <c r="E150" s="2">
        <f t="shared" si="28"/>
        <v>0.36827014030332378</v>
      </c>
      <c r="F150" s="2">
        <f t="shared" si="21"/>
        <v>0.1448457763807412</v>
      </c>
      <c r="G150" s="29">
        <f t="shared" si="22"/>
        <v>0.94520070830044234</v>
      </c>
      <c r="I150" s="2">
        <f t="shared" si="30"/>
        <v>86</v>
      </c>
      <c r="J150" s="2">
        <f t="shared" si="23"/>
        <v>1.3582969233685612E-3</v>
      </c>
    </row>
    <row r="151" spans="2:10" x14ac:dyDescent="0.25">
      <c r="B151" s="2">
        <f t="shared" si="24"/>
        <v>1.7000000000000031</v>
      </c>
      <c r="C151" s="2">
        <f t="shared" si="19"/>
        <v>9.4049077376886434E-2</v>
      </c>
      <c r="D151" s="2">
        <f t="shared" si="20"/>
        <v>2.464438336945987E-3</v>
      </c>
      <c r="E151" s="2">
        <f t="shared" si="28"/>
        <v>0.38138781546052442</v>
      </c>
      <c r="F151" s="2">
        <f t="shared" si="21"/>
        <v>0.13899244306549807</v>
      </c>
      <c r="G151" s="29">
        <f t="shared" si="22"/>
        <v>0.95543453724145722</v>
      </c>
      <c r="I151" s="2">
        <f t="shared" si="30"/>
        <v>87</v>
      </c>
      <c r="J151" s="2">
        <f t="shared" si="23"/>
        <v>1.0420934814422591E-3</v>
      </c>
    </row>
    <row r="152" spans="2:10" x14ac:dyDescent="0.25">
      <c r="B152" s="2">
        <f t="shared" si="24"/>
        <v>1.8000000000000032</v>
      </c>
      <c r="C152" s="2">
        <f t="shared" si="19"/>
        <v>7.8950158300893719E-2</v>
      </c>
      <c r="D152" s="2">
        <f t="shared" si="20"/>
        <v>1.2238038602275167E-3</v>
      </c>
      <c r="E152" s="2">
        <f t="shared" si="28"/>
        <v>0.39104269397545616</v>
      </c>
      <c r="F152" s="2">
        <f t="shared" si="21"/>
        <v>0.13304262494937724</v>
      </c>
      <c r="G152" s="29">
        <f t="shared" si="22"/>
        <v>0.96406968088707445</v>
      </c>
      <c r="I152" s="2">
        <f t="shared" si="30"/>
        <v>88</v>
      </c>
      <c r="J152" s="2">
        <f t="shared" si="23"/>
        <v>7.9154515829799694E-4</v>
      </c>
    </row>
    <row r="153" spans="2:10" x14ac:dyDescent="0.25">
      <c r="B153" s="2">
        <f t="shared" si="24"/>
        <v>1.9000000000000032</v>
      </c>
      <c r="C153" s="2">
        <f t="shared" si="19"/>
        <v>6.5615814774676193E-2</v>
      </c>
      <c r="D153" s="2">
        <f t="shared" si="20"/>
        <v>5.8389385158290601E-4</v>
      </c>
      <c r="E153" s="2">
        <f t="shared" si="28"/>
        <v>0.39695254747701192</v>
      </c>
      <c r="F153" s="2">
        <f t="shared" si="21"/>
        <v>0.12702952823459432</v>
      </c>
      <c r="G153" s="29">
        <f t="shared" si="22"/>
        <v>0.97128344018399848</v>
      </c>
      <c r="I153" s="2">
        <f t="shared" si="30"/>
        <v>89</v>
      </c>
      <c r="J153" s="2">
        <f t="shared" si="23"/>
        <v>5.9525324197758534E-4</v>
      </c>
    </row>
    <row r="154" spans="2:10" x14ac:dyDescent="0.25">
      <c r="B154" s="2">
        <f t="shared" si="24"/>
        <v>2.0000000000000031</v>
      </c>
      <c r="C154" s="2">
        <f t="shared" si="19"/>
        <v>5.3990966513187716E-2</v>
      </c>
      <c r="D154" s="2">
        <f t="shared" si="20"/>
        <v>2.6766045152976407E-4</v>
      </c>
      <c r="E154" s="2">
        <f t="shared" si="28"/>
        <v>0.3989422804014327</v>
      </c>
      <c r="F154" s="2">
        <f t="shared" si="21"/>
        <v>0.1209853622595715</v>
      </c>
      <c r="G154" s="29">
        <f t="shared" si="22"/>
        <v>0.97724986805182101</v>
      </c>
      <c r="I154" s="2">
        <f t="shared" si="30"/>
        <v>90</v>
      </c>
      <c r="J154" s="2">
        <f t="shared" si="23"/>
        <v>4.4318484119380076E-4</v>
      </c>
    </row>
    <row r="155" spans="2:10" x14ac:dyDescent="0.25">
      <c r="B155" s="2">
        <f t="shared" si="24"/>
        <v>2.1000000000000032</v>
      </c>
      <c r="C155" s="2">
        <f t="shared" si="19"/>
        <v>4.39835959804269E-2</v>
      </c>
      <c r="D155" s="2">
        <f t="shared" si="20"/>
        <v>1.1788613551307657E-4</v>
      </c>
      <c r="E155" s="2">
        <f t="shared" si="28"/>
        <v>0.39695254747701164</v>
      </c>
      <c r="F155" s="2">
        <f t="shared" si="21"/>
        <v>0.11494107034211633</v>
      </c>
      <c r="G155" s="29">
        <f t="shared" si="22"/>
        <v>0.98213557943718355</v>
      </c>
      <c r="I155" s="2"/>
      <c r="J155" s="2"/>
    </row>
    <row r="156" spans="2:10" x14ac:dyDescent="0.25">
      <c r="B156" s="2">
        <f t="shared" si="24"/>
        <v>2.2000000000000033</v>
      </c>
      <c r="C156" s="2">
        <f t="shared" si="19"/>
        <v>3.5474592846231189E-2</v>
      </c>
      <c r="D156" s="2">
        <f t="shared" si="20"/>
        <v>4.9884942580105736E-5</v>
      </c>
      <c r="E156" s="2">
        <f t="shared" si="28"/>
        <v>0.39104269397545566</v>
      </c>
      <c r="F156" s="2">
        <f t="shared" si="21"/>
        <v>0.10892608851627507</v>
      </c>
      <c r="G156" s="29">
        <f t="shared" si="22"/>
        <v>0.98609655248650152</v>
      </c>
      <c r="I156" s="2"/>
      <c r="J156" s="2"/>
    </row>
    <row r="157" spans="2:10" x14ac:dyDescent="0.25">
      <c r="B157" s="2">
        <f t="shared" si="24"/>
        <v>2.3000000000000034</v>
      </c>
      <c r="C157" s="2">
        <f t="shared" si="19"/>
        <v>2.8327037741600961E-2</v>
      </c>
      <c r="D157" s="2">
        <f t="shared" si="20"/>
        <v>2.028170413097287E-5</v>
      </c>
      <c r="E157" s="2">
        <f t="shared" si="28"/>
        <v>0.38138781546052375</v>
      </c>
      <c r="F157" s="2">
        <f t="shared" si="21"/>
        <v>0.1029681343599872</v>
      </c>
      <c r="G157" s="29">
        <f t="shared" si="22"/>
        <v>0.98927588997832427</v>
      </c>
      <c r="I157" s="2"/>
      <c r="J157" s="2"/>
    </row>
    <row r="158" spans="2:10" x14ac:dyDescent="0.25">
      <c r="B158" s="2">
        <f t="shared" si="24"/>
        <v>2.4000000000000035</v>
      </c>
      <c r="C158" s="2">
        <f t="shared" si="19"/>
        <v>2.2394530294842712E-2</v>
      </c>
      <c r="D158" s="2">
        <f t="shared" si="20"/>
        <v>7.9225981820638829E-6</v>
      </c>
      <c r="E158" s="2">
        <f t="shared" si="28"/>
        <v>0.36827014030332283</v>
      </c>
      <c r="F158" s="2">
        <f t="shared" si="21"/>
        <v>9.7093027491606268E-2</v>
      </c>
      <c r="G158" s="29">
        <f t="shared" si="22"/>
        <v>0.99180246407540396</v>
      </c>
      <c r="I158" s="2"/>
      <c r="J158" s="2"/>
    </row>
    <row r="159" spans="2:10" x14ac:dyDescent="0.25">
      <c r="B159" s="31">
        <f t="shared" si="24"/>
        <v>2.5000000000000036</v>
      </c>
      <c r="C159" s="2">
        <f t="shared" ref="C159:C173" si="31">_xlfn.NORM.DIST(B159,0,1,FALSE)</f>
        <v>1.7528300493568381E-2</v>
      </c>
      <c r="D159" s="2">
        <f t="shared" ref="D159:D164" si="32">_xlfn.NORM.DIST(B159,0,0.5,FALSE)</f>
        <v>2.9734390294684903E-6</v>
      </c>
      <c r="E159" s="2">
        <f t="shared" ref="E159:E174" si="33">_xlfn.NORM.DIST(B159,2,1,FALSE)</f>
        <v>0.35206532676429886</v>
      </c>
      <c r="F159" s="2">
        <f t="shared" ref="F159:F194" si="34">_xlfn.NORM.DIST(B159,0,2,FALSE)</f>
        <v>9.1324542694510763E-2</v>
      </c>
      <c r="G159" s="30">
        <f t="shared" ref="G159:G173" si="35">_xlfn.NORM.DIST(B159,0,1,TRUE)</f>
        <v>0.99379033467422395</v>
      </c>
      <c r="H159" s="29">
        <f>1-G159</f>
        <v>6.2096653257760481E-3</v>
      </c>
      <c r="I159" s="2"/>
      <c r="J159" s="2"/>
    </row>
    <row r="160" spans="2:10" x14ac:dyDescent="0.25">
      <c r="B160" s="2">
        <f t="shared" ref="B160:B173" si="36">B159+$A$94</f>
        <v>2.6000000000000036</v>
      </c>
      <c r="C160" s="2">
        <f t="shared" si="31"/>
        <v>1.3582969233685486E-2</v>
      </c>
      <c r="D160" s="2">
        <f t="shared" si="32"/>
        <v>1.0722070689394829E-6</v>
      </c>
      <c r="E160" s="2">
        <f t="shared" si="33"/>
        <v>0.33322460289179895</v>
      </c>
      <c r="F160" s="2">
        <f t="shared" si="34"/>
        <v>8.568429602390347E-2</v>
      </c>
      <c r="G160" s="29">
        <f t="shared" si="35"/>
        <v>0.99533881197628127</v>
      </c>
      <c r="I160" s="2"/>
      <c r="J160" s="2"/>
    </row>
    <row r="161" spans="2:10" x14ac:dyDescent="0.25">
      <c r="B161" s="2">
        <f t="shared" si="36"/>
        <v>2.7000000000000037</v>
      </c>
      <c r="C161" s="2">
        <f t="shared" si="31"/>
        <v>1.0420934814422488E-2</v>
      </c>
      <c r="D161" s="2">
        <f t="shared" si="32"/>
        <v>3.7147236891104343E-7</v>
      </c>
      <c r="E161" s="2">
        <f t="shared" si="33"/>
        <v>0.31225393336676049</v>
      </c>
      <c r="F161" s="2">
        <f t="shared" si="34"/>
        <v>8.019166367095959E-2</v>
      </c>
      <c r="G161" s="29">
        <f t="shared" si="35"/>
        <v>0.99653302619695938</v>
      </c>
      <c r="I161" s="2"/>
      <c r="J161" s="2"/>
    </row>
    <row r="162" spans="2:10" x14ac:dyDescent="0.25">
      <c r="B162" s="2">
        <f t="shared" si="36"/>
        <v>2.8000000000000038</v>
      </c>
      <c r="C162" s="2">
        <f t="shared" si="31"/>
        <v>7.9154515829798801E-3</v>
      </c>
      <c r="D162" s="2">
        <f t="shared" si="32"/>
        <v>1.2365241000331164E-7</v>
      </c>
      <c r="E162" s="2">
        <f t="shared" si="33"/>
        <v>0.2896915527614819</v>
      </c>
      <c r="F162" s="2">
        <f t="shared" si="34"/>
        <v>7.4863732817872244E-2</v>
      </c>
      <c r="G162" s="29">
        <f t="shared" si="35"/>
        <v>0.99744486966957213</v>
      </c>
      <c r="I162" s="2"/>
      <c r="J162" s="2"/>
    </row>
    <row r="163" spans="2:10" x14ac:dyDescent="0.25">
      <c r="B163" s="2">
        <f t="shared" si="36"/>
        <v>2.9000000000000039</v>
      </c>
      <c r="C163" s="2">
        <f t="shared" si="31"/>
        <v>5.9525324197757853E-3</v>
      </c>
      <c r="D163" s="2">
        <f t="shared" si="32"/>
        <v>3.9546392812487517E-8</v>
      </c>
      <c r="E163" s="2">
        <f t="shared" si="33"/>
        <v>0.26608524989875387</v>
      </c>
      <c r="F163" s="2">
        <f t="shared" si="34"/>
        <v>6.9715283222679933E-2</v>
      </c>
      <c r="G163" s="29">
        <f t="shared" si="35"/>
        <v>0.99813418669961596</v>
      </c>
      <c r="I163" s="2"/>
      <c r="J163" s="2"/>
    </row>
    <row r="164" spans="2:10" x14ac:dyDescent="0.25">
      <c r="B164" s="2">
        <f t="shared" si="36"/>
        <v>3.000000000000004</v>
      </c>
      <c r="C164" s="2">
        <f t="shared" si="31"/>
        <v>4.4318484119379529E-3</v>
      </c>
      <c r="D164" s="2">
        <f t="shared" si="32"/>
        <v>1.2151765699645968E-8</v>
      </c>
      <c r="E164" s="2">
        <f t="shared" si="33"/>
        <v>0.24197072451914239</v>
      </c>
      <c r="F164" s="2">
        <f t="shared" si="34"/>
        <v>6.4758797832945664E-2</v>
      </c>
      <c r="G164" s="29">
        <f t="shared" si="35"/>
        <v>0.9986501019683699</v>
      </c>
      <c r="I164" s="2"/>
      <c r="J164" s="2"/>
    </row>
    <row r="165" spans="2:10" x14ac:dyDescent="0.25">
      <c r="B165" s="2">
        <f t="shared" si="36"/>
        <v>3.1000000000000041</v>
      </c>
      <c r="C165" s="2">
        <f t="shared" si="31"/>
        <v>3.2668190561998783E-3</v>
      </c>
      <c r="D165" s="2"/>
      <c r="E165" s="2">
        <f t="shared" si="33"/>
        <v>0.21785217703254955</v>
      </c>
      <c r="F165" s="2">
        <f t="shared" si="34"/>
        <v>6.0004500348492605E-2</v>
      </c>
      <c r="G165" s="29">
        <f t="shared" si="35"/>
        <v>0.99903239678678168</v>
      </c>
      <c r="I165" s="2"/>
      <c r="J165" s="2"/>
    </row>
    <row r="166" spans="2:10" x14ac:dyDescent="0.25">
      <c r="B166" s="2">
        <f t="shared" si="36"/>
        <v>3.2000000000000042</v>
      </c>
      <c r="C166" s="2">
        <f t="shared" si="31"/>
        <v>2.3840882014648105E-3</v>
      </c>
      <c r="D166" s="2"/>
      <c r="E166" s="2">
        <f t="shared" si="33"/>
        <v>0.19418605498321198</v>
      </c>
      <c r="F166" s="2">
        <f t="shared" si="34"/>
        <v>5.5460417339727598E-2</v>
      </c>
      <c r="G166" s="29">
        <f t="shared" si="35"/>
        <v>0.99931286206208414</v>
      </c>
      <c r="I166" s="2"/>
      <c r="J166" s="2"/>
    </row>
    <row r="167" spans="2:10" x14ac:dyDescent="0.25">
      <c r="B167" s="2">
        <f t="shared" si="36"/>
        <v>3.3000000000000043</v>
      </c>
      <c r="C167" s="2">
        <f t="shared" si="31"/>
        <v>1.7225689390536552E-3</v>
      </c>
      <c r="D167" s="2"/>
      <c r="E167" s="2">
        <f t="shared" si="33"/>
        <v>0.17136859204780641</v>
      </c>
      <c r="F167" s="2">
        <f t="shared" si="34"/>
        <v>5.1132462281988818E-2</v>
      </c>
      <c r="G167" s="29">
        <f t="shared" si="35"/>
        <v>0.99951657585761622</v>
      </c>
      <c r="I167" s="2"/>
      <c r="J167" s="2"/>
    </row>
    <row r="168" spans="2:10" x14ac:dyDescent="0.25">
      <c r="B168" s="2">
        <f t="shared" si="36"/>
        <v>3.4000000000000044</v>
      </c>
      <c r="C168" s="2">
        <f t="shared" si="31"/>
        <v>1.2322191684730013E-3</v>
      </c>
      <c r="D168" s="2"/>
      <c r="E168" s="2">
        <f t="shared" si="33"/>
        <v>0.14972746563574393</v>
      </c>
      <c r="F168" s="2">
        <f t="shared" si="34"/>
        <v>4.7024538688443293E-2</v>
      </c>
      <c r="G168" s="29">
        <f t="shared" si="35"/>
        <v>0.99966307073432314</v>
      </c>
      <c r="I168" s="2"/>
      <c r="J168" s="2"/>
    </row>
    <row r="169" spans="2:10" x14ac:dyDescent="0.25">
      <c r="B169" s="2">
        <f t="shared" si="36"/>
        <v>3.5000000000000044</v>
      </c>
      <c r="C169" s="2">
        <f t="shared" si="31"/>
        <v>8.7268269504574606E-4</v>
      </c>
      <c r="D169" s="2"/>
      <c r="E169" s="2">
        <f t="shared" si="33"/>
        <v>0.12951759566589088</v>
      </c>
      <c r="F169" s="2">
        <f t="shared" si="34"/>
        <v>4.3138659413255585E-2</v>
      </c>
      <c r="G169" s="29">
        <f t="shared" si="35"/>
        <v>0.99976737092096446</v>
      </c>
      <c r="I169" s="2"/>
      <c r="J169" s="2"/>
    </row>
    <row r="170" spans="2:10" x14ac:dyDescent="0.25">
      <c r="B170" s="2">
        <f t="shared" si="36"/>
        <v>3.6000000000000045</v>
      </c>
      <c r="C170" s="2">
        <f t="shared" si="31"/>
        <v>6.1190193011376214E-4</v>
      </c>
      <c r="D170" s="2"/>
      <c r="E170" s="2">
        <f t="shared" si="33"/>
        <v>0.11092083467945475</v>
      </c>
      <c r="F170" s="2">
        <f t="shared" si="34"/>
        <v>3.9475079150446922E-2</v>
      </c>
      <c r="G170" s="29">
        <f t="shared" si="35"/>
        <v>0.99984089140984245</v>
      </c>
      <c r="I170" s="2"/>
      <c r="J170" s="2"/>
    </row>
    <row r="171" spans="2:10" x14ac:dyDescent="0.25">
      <c r="B171" s="2">
        <f t="shared" si="36"/>
        <v>3.7000000000000046</v>
      </c>
      <c r="C171" s="2">
        <f t="shared" si="31"/>
        <v>4.2478027055074428E-4</v>
      </c>
      <c r="D171" s="2"/>
      <c r="E171" s="2">
        <f t="shared" si="33"/>
        <v>9.4049077376886198E-2</v>
      </c>
      <c r="F171" s="2">
        <f t="shared" si="34"/>
        <v>3.603243716810884E-2</v>
      </c>
      <c r="G171" s="29">
        <f t="shared" si="35"/>
        <v>0.99989220026652259</v>
      </c>
      <c r="I171" s="2"/>
      <c r="J171" s="2"/>
    </row>
    <row r="172" spans="2:10" x14ac:dyDescent="0.25">
      <c r="B172" s="2">
        <f t="shared" si="36"/>
        <v>3.8000000000000047</v>
      </c>
      <c r="C172" s="2">
        <f t="shared" si="31"/>
        <v>2.9194692579145507E-4</v>
      </c>
      <c r="D172" s="2"/>
      <c r="E172" s="2">
        <f t="shared" si="33"/>
        <v>7.8950158300893483E-2</v>
      </c>
      <c r="F172" s="2">
        <f t="shared" si="34"/>
        <v>3.2807907387338152E-2</v>
      </c>
      <c r="G172" s="29">
        <f t="shared" si="35"/>
        <v>0.99992765195607491</v>
      </c>
      <c r="I172" s="2"/>
      <c r="J172" s="2"/>
    </row>
    <row r="173" spans="2:10" x14ac:dyDescent="0.25">
      <c r="B173" s="2">
        <f t="shared" si="36"/>
        <v>3.9000000000000048</v>
      </c>
      <c r="C173" s="2">
        <f t="shared" si="31"/>
        <v>1.9865547139276881E-4</v>
      </c>
      <c r="D173" s="2"/>
      <c r="E173" s="2">
        <f t="shared" si="33"/>
        <v>6.5615814774675998E-2</v>
      </c>
      <c r="F173" s="2">
        <f t="shared" si="34"/>
        <v>2.9797353034407892E-2</v>
      </c>
      <c r="G173" s="29">
        <f t="shared" si="35"/>
        <v>0.99995190365598241</v>
      </c>
      <c r="I173" s="2"/>
      <c r="J173" s="2"/>
    </row>
    <row r="174" spans="2:10" x14ac:dyDescent="0.25">
      <c r="B174" s="2"/>
      <c r="C174" s="2"/>
      <c r="D174" s="2"/>
      <c r="E174" s="2">
        <f t="shared" si="33"/>
        <v>5.3990966513188063E-2</v>
      </c>
      <c r="F174" s="2">
        <f t="shared" si="34"/>
        <v>0.19947114020071635</v>
      </c>
      <c r="I174" s="2"/>
      <c r="J174" s="2"/>
    </row>
    <row r="175" spans="2:10" x14ac:dyDescent="0.25">
      <c r="B175" s="2"/>
      <c r="C175" s="2"/>
      <c r="D175" s="2"/>
      <c r="E175" s="2">
        <f t="shared" ref="E175:E194" si="37">_xlfn.NORM.DIST(B175,2,1,FALSE)</f>
        <v>5.3990966513188063E-2</v>
      </c>
      <c r="F175" s="2">
        <f t="shared" si="34"/>
        <v>0.19947114020071635</v>
      </c>
      <c r="I175" s="2"/>
      <c r="J175" s="2"/>
    </row>
    <row r="176" spans="2:10" x14ac:dyDescent="0.25">
      <c r="B176" s="2"/>
      <c r="C176" s="2"/>
      <c r="D176" s="2"/>
      <c r="E176" s="2">
        <f t="shared" si="37"/>
        <v>5.3990966513188063E-2</v>
      </c>
      <c r="F176" s="2">
        <f t="shared" si="34"/>
        <v>0.19947114020071635</v>
      </c>
      <c r="I176" s="2"/>
      <c r="J176" s="2"/>
    </row>
    <row r="177" spans="2:10" x14ac:dyDescent="0.25">
      <c r="B177" s="2"/>
      <c r="C177" s="2"/>
      <c r="D177" s="2"/>
      <c r="E177" s="2">
        <f t="shared" si="37"/>
        <v>5.3990966513188063E-2</v>
      </c>
      <c r="F177" s="2">
        <f t="shared" si="34"/>
        <v>0.19947114020071635</v>
      </c>
      <c r="I177" s="2"/>
      <c r="J177" s="2"/>
    </row>
    <row r="178" spans="2:10" x14ac:dyDescent="0.25">
      <c r="B178" s="2"/>
      <c r="C178" s="2"/>
      <c r="D178" s="2"/>
      <c r="E178" s="2">
        <f t="shared" si="37"/>
        <v>5.3990966513188063E-2</v>
      </c>
      <c r="F178" s="2">
        <f t="shared" si="34"/>
        <v>0.19947114020071635</v>
      </c>
      <c r="I178" s="2"/>
      <c r="J178" s="2"/>
    </row>
    <row r="179" spans="2:10" x14ac:dyDescent="0.25">
      <c r="B179" s="2"/>
      <c r="C179" s="2"/>
      <c r="D179" s="2"/>
      <c r="E179" s="2">
        <f t="shared" si="37"/>
        <v>5.3990966513188063E-2</v>
      </c>
      <c r="F179" s="2">
        <f t="shared" si="34"/>
        <v>0.19947114020071635</v>
      </c>
      <c r="I179" s="2"/>
      <c r="J179" s="2"/>
    </row>
    <row r="180" spans="2:10" x14ac:dyDescent="0.25">
      <c r="B180" s="2"/>
      <c r="C180" s="2"/>
      <c r="D180" s="2"/>
      <c r="E180" s="2">
        <f t="shared" si="37"/>
        <v>5.3990966513188063E-2</v>
      </c>
      <c r="F180" s="2">
        <f t="shared" si="34"/>
        <v>0.19947114020071635</v>
      </c>
      <c r="I180" s="2"/>
      <c r="J180" s="2"/>
    </row>
    <row r="181" spans="2:10" x14ac:dyDescent="0.25">
      <c r="B181" s="2"/>
      <c r="C181" s="2"/>
      <c r="D181" s="2"/>
      <c r="E181" s="2">
        <f t="shared" si="37"/>
        <v>5.3990966513188063E-2</v>
      </c>
      <c r="F181" s="2">
        <f t="shared" si="34"/>
        <v>0.19947114020071635</v>
      </c>
      <c r="I181" s="2"/>
      <c r="J181" s="2"/>
    </row>
    <row r="182" spans="2:10" x14ac:dyDescent="0.25">
      <c r="B182" s="2"/>
      <c r="C182" s="2"/>
      <c r="D182" s="2"/>
      <c r="E182" s="2">
        <f t="shared" si="37"/>
        <v>5.3990966513188063E-2</v>
      </c>
      <c r="F182" s="2">
        <f t="shared" si="34"/>
        <v>0.19947114020071635</v>
      </c>
      <c r="I182" s="2"/>
      <c r="J182" s="2"/>
    </row>
    <row r="183" spans="2:10" x14ac:dyDescent="0.25">
      <c r="B183" s="2"/>
      <c r="C183" s="2"/>
      <c r="D183" s="2"/>
      <c r="E183" s="2">
        <f t="shared" si="37"/>
        <v>5.3990966513188063E-2</v>
      </c>
      <c r="F183" s="2">
        <f t="shared" si="34"/>
        <v>0.19947114020071635</v>
      </c>
      <c r="I183" s="2"/>
      <c r="J183" s="2"/>
    </row>
    <row r="184" spans="2:10" x14ac:dyDescent="0.25">
      <c r="B184" s="2"/>
      <c r="C184" s="2"/>
      <c r="D184" s="2"/>
      <c r="E184" s="2">
        <f t="shared" si="37"/>
        <v>5.3990966513188063E-2</v>
      </c>
      <c r="F184" s="2">
        <f t="shared" si="34"/>
        <v>0.19947114020071635</v>
      </c>
      <c r="I184" s="2"/>
      <c r="J184" s="2"/>
    </row>
    <row r="185" spans="2:10" x14ac:dyDescent="0.25">
      <c r="B185" s="2"/>
      <c r="C185" s="2"/>
      <c r="D185" s="2"/>
      <c r="E185" s="2">
        <f t="shared" si="37"/>
        <v>5.3990966513188063E-2</v>
      </c>
      <c r="F185" s="2">
        <f t="shared" si="34"/>
        <v>0.19947114020071635</v>
      </c>
      <c r="I185" s="2"/>
      <c r="J185" s="2"/>
    </row>
    <row r="186" spans="2:10" x14ac:dyDescent="0.25">
      <c r="B186" s="2"/>
      <c r="C186" s="2"/>
      <c r="D186" s="2"/>
      <c r="E186" s="2">
        <f t="shared" si="37"/>
        <v>5.3990966513188063E-2</v>
      </c>
      <c r="F186" s="2">
        <f t="shared" si="34"/>
        <v>0.19947114020071635</v>
      </c>
      <c r="I186" s="2"/>
      <c r="J186" s="2"/>
    </row>
    <row r="187" spans="2:10" x14ac:dyDescent="0.25">
      <c r="B187" s="2"/>
      <c r="C187" s="2"/>
      <c r="D187" s="2"/>
      <c r="E187" s="2">
        <f t="shared" si="37"/>
        <v>5.3990966513188063E-2</v>
      </c>
      <c r="F187" s="2">
        <f t="shared" si="34"/>
        <v>0.19947114020071635</v>
      </c>
      <c r="I187" s="2"/>
      <c r="J187" s="2"/>
    </row>
    <row r="188" spans="2:10" x14ac:dyDescent="0.25">
      <c r="B188" s="2"/>
      <c r="C188" s="2"/>
      <c r="D188" s="2"/>
      <c r="E188" s="2">
        <f t="shared" si="37"/>
        <v>5.3990966513188063E-2</v>
      </c>
      <c r="F188" s="2">
        <f t="shared" si="34"/>
        <v>0.19947114020071635</v>
      </c>
      <c r="I188" s="2"/>
      <c r="J188" s="2"/>
    </row>
    <row r="189" spans="2:10" x14ac:dyDescent="0.25">
      <c r="B189" s="2"/>
      <c r="C189" s="2"/>
      <c r="D189" s="2"/>
      <c r="E189" s="2">
        <f t="shared" si="37"/>
        <v>5.3990966513188063E-2</v>
      </c>
      <c r="F189" s="2">
        <f t="shared" si="34"/>
        <v>0.19947114020071635</v>
      </c>
      <c r="I189" s="2"/>
      <c r="J189" s="2"/>
    </row>
    <row r="190" spans="2:10" x14ac:dyDescent="0.25">
      <c r="B190" s="2"/>
      <c r="C190" s="2"/>
      <c r="D190" s="2"/>
      <c r="E190" s="2">
        <f t="shared" si="37"/>
        <v>5.3990966513188063E-2</v>
      </c>
      <c r="F190" s="2">
        <f t="shared" si="34"/>
        <v>0.19947114020071635</v>
      </c>
      <c r="I190" s="2"/>
      <c r="J190" s="2"/>
    </row>
    <row r="191" spans="2:10" x14ac:dyDescent="0.25">
      <c r="B191" s="2"/>
      <c r="C191" s="2"/>
      <c r="D191" s="2"/>
      <c r="E191" s="2">
        <f t="shared" si="37"/>
        <v>5.3990966513188063E-2</v>
      </c>
      <c r="F191" s="2">
        <f t="shared" si="34"/>
        <v>0.19947114020071635</v>
      </c>
      <c r="I191" s="2"/>
      <c r="J191" s="2"/>
    </row>
    <row r="192" spans="2:10" x14ac:dyDescent="0.25">
      <c r="B192" s="2"/>
      <c r="C192" s="2"/>
      <c r="D192" s="2"/>
      <c r="E192" s="2">
        <f t="shared" si="37"/>
        <v>5.3990966513188063E-2</v>
      </c>
      <c r="F192" s="2">
        <f t="shared" si="34"/>
        <v>0.19947114020071635</v>
      </c>
      <c r="I192" s="2"/>
      <c r="J192" s="2"/>
    </row>
    <row r="193" spans="1:10" x14ac:dyDescent="0.25">
      <c r="B193" s="2"/>
      <c r="C193" s="2"/>
      <c r="D193" s="2"/>
      <c r="E193" s="2">
        <f t="shared" si="37"/>
        <v>5.3990966513188063E-2</v>
      </c>
      <c r="F193" s="2">
        <f t="shared" si="34"/>
        <v>0.19947114020071635</v>
      </c>
      <c r="I193" s="2"/>
      <c r="J193" s="2"/>
    </row>
    <row r="194" spans="1:10" x14ac:dyDescent="0.25">
      <c r="B194" s="2"/>
      <c r="C194" s="2"/>
      <c r="D194" s="2"/>
      <c r="E194" s="2">
        <f t="shared" si="37"/>
        <v>5.3990966513188063E-2</v>
      </c>
      <c r="F194" s="2">
        <f t="shared" si="34"/>
        <v>0.19947114020071635</v>
      </c>
      <c r="I194" s="2"/>
      <c r="J194" s="2"/>
    </row>
    <row r="195" spans="1:10" x14ac:dyDescent="0.25">
      <c r="B195" s="2"/>
      <c r="C195" s="2"/>
      <c r="D195" s="2"/>
      <c r="E195" s="2">
        <f t="shared" ref="E195:E201" si="38">_xlfn.NORM.DIST(B195,2,1,FALSE)</f>
        <v>5.3990966513188063E-2</v>
      </c>
      <c r="F195" s="2">
        <f t="shared" ref="F195:F201" si="39">_xlfn.NORM.DIST(B195,0,2,FALSE)</f>
        <v>0.19947114020071635</v>
      </c>
      <c r="I195" s="2"/>
      <c r="J195" s="2"/>
    </row>
    <row r="196" spans="1:10" x14ac:dyDescent="0.25">
      <c r="B196" s="2"/>
      <c r="C196" s="2"/>
      <c r="D196" s="2"/>
      <c r="E196" s="2">
        <f t="shared" si="38"/>
        <v>5.3990966513188063E-2</v>
      </c>
      <c r="F196" s="2">
        <f t="shared" si="39"/>
        <v>0.19947114020071635</v>
      </c>
      <c r="I196" s="2"/>
      <c r="J196" s="2"/>
    </row>
    <row r="197" spans="1:10" x14ac:dyDescent="0.25">
      <c r="B197" s="2"/>
      <c r="C197" s="2"/>
      <c r="D197" s="2"/>
      <c r="E197" s="2">
        <f t="shared" si="38"/>
        <v>5.3990966513188063E-2</v>
      </c>
      <c r="F197" s="2">
        <f t="shared" si="39"/>
        <v>0.19947114020071635</v>
      </c>
      <c r="I197" s="2"/>
      <c r="J197" s="2"/>
    </row>
    <row r="198" spans="1:10" x14ac:dyDescent="0.25">
      <c r="B198" s="2"/>
      <c r="C198" s="2"/>
      <c r="D198" s="2"/>
      <c r="E198" s="2">
        <f t="shared" si="38"/>
        <v>5.3990966513188063E-2</v>
      </c>
      <c r="F198" s="2">
        <f t="shared" si="39"/>
        <v>0.19947114020071635</v>
      </c>
      <c r="I198" s="2"/>
      <c r="J198" s="2"/>
    </row>
    <row r="199" spans="1:10" x14ac:dyDescent="0.25">
      <c r="B199" s="2"/>
      <c r="C199" s="2"/>
      <c r="D199" s="2"/>
      <c r="E199" s="2">
        <f t="shared" si="38"/>
        <v>5.3990966513188063E-2</v>
      </c>
      <c r="F199" s="2">
        <f t="shared" si="39"/>
        <v>0.19947114020071635</v>
      </c>
      <c r="I199" s="2"/>
      <c r="J199" s="2"/>
    </row>
    <row r="200" spans="1:10" x14ac:dyDescent="0.25">
      <c r="B200" s="2"/>
      <c r="C200" s="2"/>
      <c r="D200" s="2"/>
      <c r="E200" s="2">
        <f t="shared" si="38"/>
        <v>5.3990966513188063E-2</v>
      </c>
      <c r="F200" s="2">
        <f t="shared" si="39"/>
        <v>0.19947114020071635</v>
      </c>
      <c r="I200" s="2"/>
      <c r="J200" s="2"/>
    </row>
    <row r="201" spans="1:10" x14ac:dyDescent="0.25">
      <c r="B201" s="2"/>
      <c r="C201" s="2"/>
      <c r="D201" s="2"/>
      <c r="E201" s="2">
        <f t="shared" si="38"/>
        <v>5.3990966513188063E-2</v>
      </c>
      <c r="F201" s="2">
        <f t="shared" si="39"/>
        <v>0.19947114020071635</v>
      </c>
    </row>
    <row r="202" spans="1:10" x14ac:dyDescent="0.25">
      <c r="B202" s="2"/>
      <c r="C202" s="2"/>
      <c r="D202" s="2"/>
      <c r="E202" s="2"/>
      <c r="F202" s="2"/>
    </row>
    <row r="203" spans="1:10" x14ac:dyDescent="0.25">
      <c r="B203" s="2"/>
      <c r="C203" s="2"/>
      <c r="D203" s="2"/>
      <c r="E203" s="2"/>
      <c r="F203" s="2"/>
    </row>
    <row r="204" spans="1:10" x14ac:dyDescent="0.25">
      <c r="A204">
        <v>0.1</v>
      </c>
      <c r="B204" s="2">
        <v>-3</v>
      </c>
      <c r="C204" s="2">
        <f>_xlfn.NORM.DIST(B204,0,1,FALSE)</f>
        <v>4.4318484119380075E-3</v>
      </c>
      <c r="D204" s="2">
        <f>_xlfn.NORM.DIST(B204,0,1,TRUE)</f>
        <v>1.3498980316300933E-3</v>
      </c>
      <c r="E204" s="2"/>
      <c r="F204" s="2"/>
    </row>
    <row r="205" spans="1:10" x14ac:dyDescent="0.25">
      <c r="B205" s="2">
        <f>B204+$A$94</f>
        <v>-2.9</v>
      </c>
      <c r="C205" s="2">
        <f t="shared" ref="C205:C264" si="40">_xlfn.NORM.DIST(B205,0,1,FALSE)</f>
        <v>5.9525324197758538E-3</v>
      </c>
      <c r="D205" s="2">
        <f t="shared" ref="D205:D264" si="41">_xlfn.NORM.DIST(B205,0,1,TRUE)</f>
        <v>1.8658133003840378E-3</v>
      </c>
      <c r="E205" s="2"/>
      <c r="F205" s="2"/>
    </row>
    <row r="206" spans="1:10" x14ac:dyDescent="0.25">
      <c r="B206" s="2">
        <f t="shared" ref="B206:B264" si="42">B205+$A$94</f>
        <v>-2.8</v>
      </c>
      <c r="C206" s="2">
        <f t="shared" si="40"/>
        <v>7.9154515829799686E-3</v>
      </c>
      <c r="D206" s="2">
        <f t="shared" si="41"/>
        <v>2.5551303304279312E-3</v>
      </c>
      <c r="E206" s="2"/>
      <c r="F206" s="2"/>
    </row>
    <row r="207" spans="1:10" x14ac:dyDescent="0.25">
      <c r="B207" s="2">
        <f t="shared" si="42"/>
        <v>-2.6999999999999997</v>
      </c>
      <c r="C207" s="2">
        <f t="shared" si="40"/>
        <v>1.0420934814422605E-2</v>
      </c>
      <c r="D207" s="2">
        <f t="shared" si="41"/>
        <v>3.4669738030406677E-3</v>
      </c>
      <c r="E207" s="2"/>
      <c r="F207" s="2"/>
    </row>
    <row r="208" spans="1:10" x14ac:dyDescent="0.25">
      <c r="B208" s="2">
        <f t="shared" si="42"/>
        <v>-2.5999999999999996</v>
      </c>
      <c r="C208" s="2">
        <f t="shared" si="40"/>
        <v>1.3582969233685634E-2</v>
      </c>
      <c r="D208" s="2">
        <f t="shared" si="41"/>
        <v>4.6611880237187493E-3</v>
      </c>
      <c r="E208" s="2"/>
      <c r="F208" s="2"/>
    </row>
    <row r="209" spans="2:6" x14ac:dyDescent="0.25">
      <c r="B209" s="2">
        <f t="shared" si="42"/>
        <v>-2.4999999999999996</v>
      </c>
      <c r="C209" s="2">
        <f t="shared" si="40"/>
        <v>1.7528300493568554E-2</v>
      </c>
      <c r="D209" s="2">
        <f t="shared" si="41"/>
        <v>6.2096653257761383E-3</v>
      </c>
      <c r="E209" s="2"/>
      <c r="F209" s="2"/>
    </row>
    <row r="210" spans="2:6" x14ac:dyDescent="0.25">
      <c r="B210" s="2">
        <f t="shared" si="42"/>
        <v>-2.3999999999999995</v>
      </c>
      <c r="C210" s="2">
        <f t="shared" si="40"/>
        <v>2.2394530294842931E-2</v>
      </c>
      <c r="D210" s="2">
        <f t="shared" si="41"/>
        <v>8.1975359245961381E-3</v>
      </c>
      <c r="E210" s="2"/>
      <c r="F210" s="2"/>
    </row>
    <row r="211" spans="2:6" x14ac:dyDescent="0.25">
      <c r="B211" s="2">
        <f t="shared" si="42"/>
        <v>-2.2999999999999994</v>
      </c>
      <c r="C211" s="2">
        <f t="shared" si="40"/>
        <v>2.832703774160121E-2</v>
      </c>
      <c r="D211" s="2">
        <f t="shared" si="41"/>
        <v>1.0724110021675814E-2</v>
      </c>
      <c r="E211" s="2"/>
      <c r="F211" s="2"/>
    </row>
    <row r="212" spans="2:6" x14ac:dyDescent="0.25">
      <c r="B212" s="2">
        <f t="shared" si="42"/>
        <v>-2.1999999999999993</v>
      </c>
      <c r="C212" s="2">
        <f t="shared" si="40"/>
        <v>3.5474592846231487E-2</v>
      </c>
      <c r="D212" s="2">
        <f t="shared" si="41"/>
        <v>1.3903447513498632E-2</v>
      </c>
      <c r="E212" s="2"/>
      <c r="F212" s="2"/>
    </row>
    <row r="213" spans="2:6" x14ac:dyDescent="0.25">
      <c r="B213" s="2">
        <f t="shared" si="42"/>
        <v>-2.0999999999999992</v>
      </c>
      <c r="C213" s="2">
        <f t="shared" si="40"/>
        <v>4.3983595980427267E-2</v>
      </c>
      <c r="D213" s="2">
        <f t="shared" si="41"/>
        <v>1.786442056281658E-2</v>
      </c>
      <c r="E213" s="2"/>
      <c r="F213" s="2"/>
    </row>
    <row r="214" spans="2:6" x14ac:dyDescent="0.25">
      <c r="B214" s="2">
        <f t="shared" si="42"/>
        <v>-1.9999999999999991</v>
      </c>
      <c r="C214" s="2">
        <f t="shared" si="40"/>
        <v>5.3990966513188146E-2</v>
      </c>
      <c r="D214" s="2">
        <f t="shared" si="41"/>
        <v>2.2750131948179247E-2</v>
      </c>
      <c r="E214" s="2"/>
      <c r="F214" s="2"/>
    </row>
    <row r="215" spans="2:6" x14ac:dyDescent="0.25">
      <c r="B215" s="2">
        <f t="shared" si="42"/>
        <v>-1.899999999999999</v>
      </c>
      <c r="C215" s="2">
        <f t="shared" si="40"/>
        <v>6.561581477467672E-2</v>
      </c>
      <c r="D215" s="2">
        <f t="shared" si="41"/>
        <v>2.8716559816001866E-2</v>
      </c>
      <c r="E215" s="2"/>
      <c r="F215" s="2"/>
    </row>
    <row r="216" spans="2:6" x14ac:dyDescent="0.25">
      <c r="B216" s="2">
        <f t="shared" si="42"/>
        <v>-1.7999999999999989</v>
      </c>
      <c r="C216" s="2">
        <f t="shared" si="40"/>
        <v>7.8950158300894302E-2</v>
      </c>
      <c r="D216" s="2">
        <f t="shared" si="41"/>
        <v>3.5930319112925886E-2</v>
      </c>
      <c r="E216" s="2"/>
      <c r="F216" s="2"/>
    </row>
    <row r="217" spans="2:6" x14ac:dyDescent="0.25">
      <c r="B217" s="2">
        <f t="shared" si="42"/>
        <v>-1.6999999999999988</v>
      </c>
      <c r="C217" s="2">
        <f t="shared" si="40"/>
        <v>9.4049077376887114E-2</v>
      </c>
      <c r="D217" s="2">
        <f t="shared" si="41"/>
        <v>4.4565462758543145E-2</v>
      </c>
      <c r="E217" s="2"/>
      <c r="F217" s="2"/>
    </row>
    <row r="218" spans="2:6" x14ac:dyDescent="0.25">
      <c r="B218" s="2">
        <f t="shared" si="42"/>
        <v>-1.5999999999999988</v>
      </c>
      <c r="C218" s="2">
        <f t="shared" si="40"/>
        <v>0.11092083467945579</v>
      </c>
      <c r="D218" s="2">
        <f t="shared" si="41"/>
        <v>5.4799291699558127E-2</v>
      </c>
      <c r="E218" s="2"/>
      <c r="F218" s="2"/>
    </row>
    <row r="219" spans="2:6" x14ac:dyDescent="0.25">
      <c r="B219" s="2">
        <f t="shared" si="42"/>
        <v>-1.4999999999999987</v>
      </c>
      <c r="C219" s="2">
        <f t="shared" si="40"/>
        <v>0.12951759566589199</v>
      </c>
      <c r="D219" s="2">
        <f t="shared" si="41"/>
        <v>6.6807201268858196E-2</v>
      </c>
      <c r="E219" s="2"/>
      <c r="F219" s="2"/>
    </row>
    <row r="220" spans="2:6" x14ac:dyDescent="0.25">
      <c r="B220" s="2">
        <f t="shared" si="42"/>
        <v>-1.3999999999999986</v>
      </c>
      <c r="C220" s="2">
        <f t="shared" si="40"/>
        <v>0.14972746563574515</v>
      </c>
      <c r="D220" s="2">
        <f t="shared" si="41"/>
        <v>8.0756659233771233E-2</v>
      </c>
      <c r="E220" s="2"/>
      <c r="F220" s="2"/>
    </row>
    <row r="221" spans="2:6" x14ac:dyDescent="0.25">
      <c r="B221" s="2">
        <f t="shared" si="42"/>
        <v>-1.2999999999999985</v>
      </c>
      <c r="C221" s="2">
        <f t="shared" si="40"/>
        <v>0.17136859204780769</v>
      </c>
      <c r="D221" s="2">
        <f t="shared" si="41"/>
        <v>9.680048458561058E-2</v>
      </c>
      <c r="E221" s="2"/>
      <c r="F221" s="2"/>
    </row>
    <row r="222" spans="2:6" x14ac:dyDescent="0.25">
      <c r="B222" s="2">
        <f t="shared" si="42"/>
        <v>-1.1999999999999984</v>
      </c>
      <c r="C222" s="2">
        <f t="shared" si="40"/>
        <v>0.19418605498321331</v>
      </c>
      <c r="D222" s="2">
        <f t="shared" si="41"/>
        <v>0.11506967022170858</v>
      </c>
      <c r="E222" s="2"/>
      <c r="F222" s="2"/>
    </row>
    <row r="223" spans="2:6" x14ac:dyDescent="0.25">
      <c r="B223" s="2">
        <f t="shared" si="42"/>
        <v>-1.0999999999999983</v>
      </c>
      <c r="C223" s="2">
        <f t="shared" si="40"/>
        <v>0.21785217703255097</v>
      </c>
      <c r="D223" s="2">
        <f t="shared" si="41"/>
        <v>0.13566606094638298</v>
      </c>
      <c r="E223" s="2"/>
      <c r="F223" s="2"/>
    </row>
    <row r="224" spans="2:6" x14ac:dyDescent="0.25">
      <c r="B224" s="2">
        <f t="shared" si="42"/>
        <v>-0.99999999999999833</v>
      </c>
      <c r="C224" s="2">
        <f t="shared" si="40"/>
        <v>0.24197072451914375</v>
      </c>
      <c r="D224" s="2">
        <f t="shared" si="41"/>
        <v>0.15865525393145746</v>
      </c>
      <c r="E224" s="2"/>
      <c r="F224" s="2"/>
    </row>
    <row r="225" spans="2:8" x14ac:dyDescent="0.25">
      <c r="B225" s="2">
        <f t="shared" si="42"/>
        <v>-0.89999999999999836</v>
      </c>
      <c r="C225" s="2">
        <f t="shared" si="40"/>
        <v>0.26608524989875521</v>
      </c>
      <c r="D225" s="2">
        <f t="shared" si="41"/>
        <v>0.18406012534675992</v>
      </c>
      <c r="E225" s="2"/>
      <c r="F225" s="2"/>
    </row>
    <row r="226" spans="2:8" x14ac:dyDescent="0.25">
      <c r="B226" s="2">
        <f t="shared" si="42"/>
        <v>-0.79999999999999838</v>
      </c>
      <c r="C226" s="2">
        <f t="shared" si="40"/>
        <v>0.28969155276148312</v>
      </c>
      <c r="D226" s="2">
        <f t="shared" si="41"/>
        <v>0.21185539858339716</v>
      </c>
      <c r="E226" s="2"/>
      <c r="F226" s="2"/>
    </row>
    <row r="227" spans="2:8" x14ac:dyDescent="0.25">
      <c r="B227" s="2">
        <f t="shared" si="42"/>
        <v>-0.6999999999999984</v>
      </c>
      <c r="C227" s="2">
        <f t="shared" si="40"/>
        <v>0.3122539333667616</v>
      </c>
      <c r="D227" s="2">
        <f t="shared" si="41"/>
        <v>0.24196365222307348</v>
      </c>
      <c r="E227" s="2"/>
      <c r="F227" s="2"/>
    </row>
    <row r="228" spans="2:8" x14ac:dyDescent="0.25">
      <c r="B228" s="2">
        <f t="shared" si="42"/>
        <v>-0.59999999999999842</v>
      </c>
      <c r="C228" s="2">
        <f t="shared" si="40"/>
        <v>0.33322460289179995</v>
      </c>
      <c r="D228" s="2">
        <f t="shared" si="41"/>
        <v>0.2742531177500741</v>
      </c>
    </row>
    <row r="229" spans="2:8" x14ac:dyDescent="0.25">
      <c r="B229" s="2">
        <f t="shared" si="42"/>
        <v>-0.49999999999999845</v>
      </c>
      <c r="C229" s="2">
        <f t="shared" si="40"/>
        <v>0.3520653267642998</v>
      </c>
      <c r="D229" s="2">
        <f t="shared" si="41"/>
        <v>0.30853753872598744</v>
      </c>
    </row>
    <row r="230" spans="2:8" x14ac:dyDescent="0.25">
      <c r="B230" s="2">
        <f t="shared" si="42"/>
        <v>-0.39999999999999847</v>
      </c>
      <c r="C230" s="2">
        <f t="shared" si="40"/>
        <v>0.36827014030332356</v>
      </c>
      <c r="D230" s="2">
        <f t="shared" si="41"/>
        <v>0.34457825838967637</v>
      </c>
    </row>
    <row r="231" spans="2:8" x14ac:dyDescent="0.25">
      <c r="B231" s="2">
        <f t="shared" si="42"/>
        <v>-0.29999999999999849</v>
      </c>
      <c r="C231" s="2">
        <f t="shared" si="40"/>
        <v>0.38138781546052425</v>
      </c>
      <c r="D231" s="2">
        <f t="shared" si="41"/>
        <v>0.38208857781104794</v>
      </c>
    </row>
    <row r="232" spans="2:8" x14ac:dyDescent="0.25">
      <c r="B232" s="2">
        <f t="shared" si="42"/>
        <v>-0.19999999999999848</v>
      </c>
      <c r="C232" s="2">
        <f t="shared" si="40"/>
        <v>0.39104269397545599</v>
      </c>
      <c r="D232" s="2">
        <f t="shared" si="41"/>
        <v>0.42074029056089757</v>
      </c>
    </row>
    <row r="233" spans="2:8" x14ac:dyDescent="0.25">
      <c r="B233" s="2">
        <f t="shared" si="42"/>
        <v>-9.9999999999998479E-2</v>
      </c>
      <c r="C233" s="2">
        <f t="shared" si="40"/>
        <v>0.39695254747701186</v>
      </c>
      <c r="D233" s="2">
        <f t="shared" si="41"/>
        <v>0.46017216272297162</v>
      </c>
    </row>
    <row r="234" spans="2:8" x14ac:dyDescent="0.25">
      <c r="B234" s="2">
        <f t="shared" si="42"/>
        <v>1.5265566588595902E-15</v>
      </c>
      <c r="C234" s="2">
        <f t="shared" si="40"/>
        <v>0.3989422804014327</v>
      </c>
      <c r="D234" s="2">
        <f t="shared" si="41"/>
        <v>0.50000000000000067</v>
      </c>
    </row>
    <row r="235" spans="2:8" x14ac:dyDescent="0.25">
      <c r="B235" s="2">
        <f t="shared" si="42"/>
        <v>0.10000000000000153</v>
      </c>
      <c r="C235" s="2">
        <f t="shared" si="40"/>
        <v>0.39695254747701175</v>
      </c>
      <c r="D235" s="2">
        <f t="shared" si="41"/>
        <v>0.53982783727702954</v>
      </c>
    </row>
    <row r="236" spans="2:8" x14ac:dyDescent="0.25">
      <c r="B236" s="2">
        <f t="shared" si="42"/>
        <v>0.20000000000000154</v>
      </c>
      <c r="C236" s="2">
        <f t="shared" si="40"/>
        <v>0.39104269397545577</v>
      </c>
      <c r="D236" s="2">
        <f t="shared" si="41"/>
        <v>0.57925970943910365</v>
      </c>
    </row>
    <row r="237" spans="2:8" x14ac:dyDescent="0.25">
      <c r="B237" s="2">
        <f t="shared" si="42"/>
        <v>0.30000000000000154</v>
      </c>
      <c r="C237" s="2">
        <f t="shared" si="40"/>
        <v>0.38138781546052397</v>
      </c>
      <c r="D237" s="2">
        <f t="shared" si="41"/>
        <v>0.61791142218895323</v>
      </c>
    </row>
    <row r="238" spans="2:8" ht="16.5" thickBot="1" x14ac:dyDescent="0.3">
      <c r="B238" s="2">
        <f t="shared" si="42"/>
        <v>0.40000000000000158</v>
      </c>
      <c r="C238" s="2">
        <f t="shared" si="40"/>
        <v>0.36827014030332311</v>
      </c>
      <c r="D238" s="2">
        <f t="shared" si="41"/>
        <v>0.65542174161032474</v>
      </c>
      <c r="F238" s="9"/>
      <c r="G238" s="10"/>
      <c r="H238" s="11"/>
    </row>
    <row r="239" spans="2:8" ht="15" x14ac:dyDescent="0.25">
      <c r="B239" s="2">
        <f t="shared" si="42"/>
        <v>0.50000000000000155</v>
      </c>
      <c r="C239" s="2">
        <f t="shared" si="40"/>
        <v>0.35206532676429919</v>
      </c>
      <c r="D239" s="2">
        <f t="shared" si="41"/>
        <v>0.69146246127401367</v>
      </c>
      <c r="F239" s="12"/>
      <c r="G239" s="13"/>
      <c r="H239" s="14"/>
    </row>
    <row r="240" spans="2:8" ht="15" x14ac:dyDescent="0.25">
      <c r="B240" s="2">
        <f t="shared" si="42"/>
        <v>0.60000000000000153</v>
      </c>
      <c r="C240" s="2">
        <f t="shared" si="40"/>
        <v>0.33322460289179934</v>
      </c>
      <c r="D240" s="2">
        <f t="shared" si="41"/>
        <v>0.72574688224992701</v>
      </c>
      <c r="F240" s="15"/>
      <c r="G240" s="16"/>
      <c r="H240" s="17"/>
    </row>
    <row r="241" spans="2:8" ht="15" x14ac:dyDescent="0.25">
      <c r="B241" s="2">
        <f t="shared" si="42"/>
        <v>0.70000000000000151</v>
      </c>
      <c r="C241" s="2">
        <f t="shared" si="40"/>
        <v>0.31225393336676094</v>
      </c>
      <c r="D241" s="2">
        <f t="shared" si="41"/>
        <v>0.75803634777692741</v>
      </c>
      <c r="F241" s="15"/>
      <c r="G241" s="16"/>
      <c r="H241" s="17"/>
    </row>
    <row r="242" spans="2:8" x14ac:dyDescent="0.25">
      <c r="B242" s="2">
        <f t="shared" si="42"/>
        <v>0.80000000000000149</v>
      </c>
      <c r="C242" s="2">
        <f t="shared" si="40"/>
        <v>0.2896915527614824</v>
      </c>
      <c r="D242" s="2">
        <f t="shared" si="41"/>
        <v>0.78814460141660381</v>
      </c>
    </row>
    <row r="243" spans="2:8" x14ac:dyDescent="0.25">
      <c r="B243" s="2">
        <f t="shared" si="42"/>
        <v>0.90000000000000147</v>
      </c>
      <c r="C243" s="2">
        <f t="shared" si="40"/>
        <v>0.26608524989875448</v>
      </c>
      <c r="D243" s="2">
        <f t="shared" si="41"/>
        <v>0.81593987465324092</v>
      </c>
    </row>
    <row r="244" spans="2:8" x14ac:dyDescent="0.25">
      <c r="B244" s="2">
        <f t="shared" si="42"/>
        <v>1.0000000000000016</v>
      </c>
      <c r="C244" s="2">
        <f t="shared" si="40"/>
        <v>0.241970724519143</v>
      </c>
      <c r="D244" s="2">
        <f t="shared" si="41"/>
        <v>0.84134474606854337</v>
      </c>
    </row>
    <row r="245" spans="2:8" x14ac:dyDescent="0.25">
      <c r="B245" s="2">
        <f t="shared" si="42"/>
        <v>1.1000000000000016</v>
      </c>
      <c r="C245" s="2">
        <f t="shared" si="40"/>
        <v>0.21785217703255014</v>
      </c>
      <c r="D245" s="2">
        <f t="shared" si="41"/>
        <v>0.86433393905361777</v>
      </c>
    </row>
    <row r="246" spans="2:8" x14ac:dyDescent="0.25">
      <c r="B246" s="2">
        <f t="shared" si="42"/>
        <v>1.2000000000000017</v>
      </c>
      <c r="C246" s="2">
        <f t="shared" si="40"/>
        <v>0.19418605498321254</v>
      </c>
      <c r="D246" s="2">
        <f t="shared" si="41"/>
        <v>0.88493032977829211</v>
      </c>
    </row>
    <row r="247" spans="2:8" x14ac:dyDescent="0.25">
      <c r="B247" s="2">
        <f t="shared" si="42"/>
        <v>1.3000000000000018</v>
      </c>
      <c r="C247" s="2">
        <f t="shared" si="40"/>
        <v>0.17136859204780694</v>
      </c>
      <c r="D247" s="2">
        <f t="shared" si="41"/>
        <v>0.90319951541439003</v>
      </c>
    </row>
    <row r="248" spans="2:8" x14ac:dyDescent="0.25">
      <c r="B248" s="2">
        <f t="shared" si="42"/>
        <v>1.4000000000000019</v>
      </c>
      <c r="C248" s="2">
        <f t="shared" si="40"/>
        <v>0.14972746563574449</v>
      </c>
      <c r="D248" s="2">
        <f t="shared" si="41"/>
        <v>0.91924334076622927</v>
      </c>
    </row>
    <row r="249" spans="2:8" x14ac:dyDescent="0.25">
      <c r="B249" s="2">
        <f t="shared" si="42"/>
        <v>1.500000000000002</v>
      </c>
      <c r="C249" s="2">
        <f t="shared" si="40"/>
        <v>0.12951759566589133</v>
      </c>
      <c r="D249" s="2">
        <f t="shared" si="41"/>
        <v>0.93319279873114225</v>
      </c>
    </row>
    <row r="250" spans="2:8" x14ac:dyDescent="0.25">
      <c r="B250" s="2">
        <f t="shared" si="42"/>
        <v>1.6000000000000021</v>
      </c>
      <c r="C250" s="2">
        <f t="shared" si="40"/>
        <v>0.1109208346794552</v>
      </c>
      <c r="D250" s="2">
        <f t="shared" si="41"/>
        <v>0.94520070830044223</v>
      </c>
    </row>
    <row r="251" spans="2:8" x14ac:dyDescent="0.25">
      <c r="B251" s="2">
        <f t="shared" si="42"/>
        <v>1.7000000000000022</v>
      </c>
      <c r="C251" s="2">
        <f t="shared" si="40"/>
        <v>9.4049077376886586E-2</v>
      </c>
      <c r="D251" s="2">
        <f t="shared" si="41"/>
        <v>0.95543453724145722</v>
      </c>
    </row>
    <row r="252" spans="2:8" x14ac:dyDescent="0.25">
      <c r="B252" s="2">
        <f t="shared" si="42"/>
        <v>1.8000000000000023</v>
      </c>
      <c r="C252" s="2">
        <f t="shared" si="40"/>
        <v>7.8950158300893844E-2</v>
      </c>
      <c r="D252" s="2">
        <f t="shared" si="41"/>
        <v>0.96406968088707434</v>
      </c>
    </row>
    <row r="253" spans="2:8" x14ac:dyDescent="0.25">
      <c r="B253" s="2">
        <f t="shared" si="42"/>
        <v>1.9000000000000024</v>
      </c>
      <c r="C253" s="2">
        <f t="shared" si="40"/>
        <v>6.5615814774676304E-2</v>
      </c>
      <c r="D253" s="2">
        <f t="shared" si="41"/>
        <v>0.97128344018399837</v>
      </c>
    </row>
    <row r="254" spans="2:8" x14ac:dyDescent="0.25">
      <c r="B254" s="2">
        <f t="shared" si="42"/>
        <v>2.0000000000000022</v>
      </c>
      <c r="C254" s="2">
        <f t="shared" si="40"/>
        <v>5.3990966513187813E-2</v>
      </c>
      <c r="D254" s="2">
        <f t="shared" si="41"/>
        <v>0.9772498680518209</v>
      </c>
    </row>
    <row r="255" spans="2:8" x14ac:dyDescent="0.25">
      <c r="B255" s="2">
        <f t="shared" si="42"/>
        <v>2.1000000000000023</v>
      </c>
      <c r="C255" s="2">
        <f t="shared" si="40"/>
        <v>4.3983595980426976E-2</v>
      </c>
      <c r="D255" s="2">
        <f t="shared" si="41"/>
        <v>0.98213557943718355</v>
      </c>
    </row>
    <row r="256" spans="2:8" x14ac:dyDescent="0.25">
      <c r="B256" s="2">
        <f t="shared" si="42"/>
        <v>2.2000000000000024</v>
      </c>
      <c r="C256" s="2">
        <f t="shared" si="40"/>
        <v>3.5474592846231251E-2</v>
      </c>
      <c r="D256" s="2">
        <f t="shared" si="41"/>
        <v>0.98609655248650152</v>
      </c>
    </row>
    <row r="257" spans="2:4" x14ac:dyDescent="0.25">
      <c r="B257" s="2">
        <f t="shared" si="42"/>
        <v>2.3000000000000025</v>
      </c>
      <c r="C257" s="2">
        <f t="shared" si="40"/>
        <v>2.8327037741601009E-2</v>
      </c>
      <c r="D257" s="2">
        <f t="shared" si="41"/>
        <v>0.98927588997832427</v>
      </c>
    </row>
    <row r="258" spans="2:4" x14ac:dyDescent="0.25">
      <c r="B258" s="2">
        <f t="shared" si="42"/>
        <v>2.4000000000000026</v>
      </c>
      <c r="C258" s="2">
        <f t="shared" si="40"/>
        <v>2.2394530294842761E-2</v>
      </c>
      <c r="D258" s="2">
        <f t="shared" si="41"/>
        <v>0.99180246407540396</v>
      </c>
    </row>
    <row r="259" spans="2:4" x14ac:dyDescent="0.25">
      <c r="B259" s="2">
        <f t="shared" si="42"/>
        <v>2.5000000000000027</v>
      </c>
      <c r="C259" s="2">
        <f t="shared" si="40"/>
        <v>1.7528300493568419E-2</v>
      </c>
      <c r="D259" s="2">
        <f t="shared" si="41"/>
        <v>0.99379033467422395</v>
      </c>
    </row>
    <row r="260" spans="2:4" x14ac:dyDescent="0.25">
      <c r="B260" s="2">
        <f t="shared" si="42"/>
        <v>2.6000000000000028</v>
      </c>
      <c r="C260" s="2">
        <f t="shared" si="40"/>
        <v>1.3582969233685523E-2</v>
      </c>
      <c r="D260" s="2">
        <f t="shared" si="41"/>
        <v>0.99533881197628127</v>
      </c>
    </row>
    <row r="261" spans="2:4" x14ac:dyDescent="0.25">
      <c r="B261" s="2">
        <f t="shared" si="42"/>
        <v>2.7000000000000028</v>
      </c>
      <c r="C261" s="2">
        <f t="shared" si="40"/>
        <v>1.0420934814422515E-2</v>
      </c>
      <c r="D261" s="2">
        <f t="shared" si="41"/>
        <v>0.99653302619695938</v>
      </c>
    </row>
    <row r="262" spans="2:4" x14ac:dyDescent="0.25">
      <c r="B262" s="2">
        <f t="shared" si="42"/>
        <v>2.8000000000000029</v>
      </c>
      <c r="C262" s="2">
        <f t="shared" si="40"/>
        <v>7.9154515829798974E-3</v>
      </c>
      <c r="D262" s="2">
        <f t="shared" si="41"/>
        <v>0.99744486966957213</v>
      </c>
    </row>
    <row r="263" spans="2:4" x14ac:dyDescent="0.25">
      <c r="B263" s="2">
        <f t="shared" si="42"/>
        <v>2.900000000000003</v>
      </c>
      <c r="C263" s="2">
        <f t="shared" si="40"/>
        <v>5.9525324197758009E-3</v>
      </c>
      <c r="D263" s="2">
        <f t="shared" si="41"/>
        <v>0.99813418669961596</v>
      </c>
    </row>
    <row r="264" spans="2:4" x14ac:dyDescent="0.25">
      <c r="B264" s="2">
        <f t="shared" si="42"/>
        <v>3.0000000000000031</v>
      </c>
      <c r="C264" s="2">
        <f t="shared" si="40"/>
        <v>4.4318484119379676E-3</v>
      </c>
      <c r="D264" s="2">
        <f t="shared" si="41"/>
        <v>0.9986501019683699</v>
      </c>
    </row>
    <row r="265" spans="2:4" x14ac:dyDescent="0.25">
      <c r="B265" s="2"/>
      <c r="C265" s="2"/>
      <c r="D265" s="2"/>
    </row>
    <row r="266" spans="2:4" x14ac:dyDescent="0.25">
      <c r="B266" s="2"/>
      <c r="C266" s="2"/>
      <c r="D266" s="2"/>
    </row>
    <row r="267" spans="2:4" x14ac:dyDescent="0.25">
      <c r="B267" s="2"/>
      <c r="C267" s="2"/>
      <c r="D267" s="2"/>
    </row>
    <row r="268" spans="2:4" x14ac:dyDescent="0.25">
      <c r="B268" s="2"/>
      <c r="C268" s="2"/>
      <c r="D268" s="2"/>
    </row>
    <row r="269" spans="2:4" x14ac:dyDescent="0.25">
      <c r="B269" s="2"/>
      <c r="C269" s="2"/>
      <c r="D269" s="2"/>
    </row>
    <row r="270" spans="2:4" x14ac:dyDescent="0.25">
      <c r="B270" s="2"/>
      <c r="C270" s="2"/>
      <c r="D270" s="2"/>
    </row>
    <row r="271" spans="2:4" x14ac:dyDescent="0.25">
      <c r="B271" s="2"/>
      <c r="C271" s="2"/>
      <c r="D271" s="2"/>
    </row>
    <row r="272" spans="2:4" x14ac:dyDescent="0.25">
      <c r="B272" s="2"/>
      <c r="C272" s="2"/>
      <c r="D272" s="2"/>
    </row>
    <row r="273" spans="2:4" x14ac:dyDescent="0.25">
      <c r="B273" s="2"/>
      <c r="C273" s="2"/>
      <c r="D273" s="2"/>
    </row>
    <row r="274" spans="2:4" x14ac:dyDescent="0.25">
      <c r="B274" s="2"/>
      <c r="C274" s="2"/>
      <c r="D274" s="2"/>
    </row>
    <row r="275" spans="2:4" x14ac:dyDescent="0.25">
      <c r="B275" s="2"/>
      <c r="C275" s="2"/>
      <c r="D275" s="2"/>
    </row>
    <row r="276" spans="2:4" x14ac:dyDescent="0.25">
      <c r="B276" s="2"/>
      <c r="C276" s="2"/>
      <c r="D276" s="2"/>
    </row>
    <row r="277" spans="2:4" x14ac:dyDescent="0.25">
      <c r="B277" s="2"/>
      <c r="C277" s="2"/>
      <c r="D277" s="2"/>
    </row>
    <row r="278" spans="2:4" x14ac:dyDescent="0.25">
      <c r="B278" s="2"/>
      <c r="C278" s="2"/>
      <c r="D278" s="2"/>
    </row>
    <row r="279" spans="2:4" x14ac:dyDescent="0.25">
      <c r="B279" s="2"/>
      <c r="C279" s="2"/>
      <c r="D279" s="2"/>
    </row>
    <row r="280" spans="2:4" x14ac:dyDescent="0.25">
      <c r="B280" s="2"/>
      <c r="C280" s="2"/>
      <c r="D280" s="2"/>
    </row>
    <row r="281" spans="2:4" x14ac:dyDescent="0.25">
      <c r="B281" s="2"/>
      <c r="C281" s="2"/>
      <c r="D281" s="2"/>
    </row>
    <row r="282" spans="2:4" x14ac:dyDescent="0.25">
      <c r="B282" s="2"/>
      <c r="C282" s="2"/>
      <c r="D282" s="2"/>
    </row>
    <row r="283" spans="2:4" x14ac:dyDescent="0.25">
      <c r="B283" s="2"/>
      <c r="C283" s="2"/>
      <c r="D283" s="2"/>
    </row>
    <row r="284" spans="2:4" x14ac:dyDescent="0.25">
      <c r="B284" s="2"/>
      <c r="C284" s="2"/>
      <c r="D284" s="2"/>
    </row>
    <row r="285" spans="2:4" x14ac:dyDescent="0.25">
      <c r="B285" s="2"/>
      <c r="C285" s="2"/>
      <c r="D285" s="2"/>
    </row>
    <row r="286" spans="2:4" x14ac:dyDescent="0.25">
      <c r="B286" s="2"/>
      <c r="C286" s="2"/>
      <c r="D286" s="2"/>
    </row>
    <row r="287" spans="2:4" x14ac:dyDescent="0.25">
      <c r="B287" s="2"/>
      <c r="C287" s="2"/>
      <c r="D287" s="2"/>
    </row>
    <row r="288" spans="2:4" x14ac:dyDescent="0.25">
      <c r="B288" s="2"/>
      <c r="C288" s="2"/>
      <c r="D288" s="2"/>
    </row>
    <row r="289" spans="1:53" x14ac:dyDescent="0.25">
      <c r="B289" s="2"/>
      <c r="C289" s="2"/>
      <c r="D289" s="2"/>
    </row>
    <row r="290" spans="1:53" x14ac:dyDescent="0.25">
      <c r="B290" s="2"/>
      <c r="C290" s="2"/>
      <c r="D290" s="2"/>
    </row>
    <row r="291" spans="1:53" x14ac:dyDescent="0.25">
      <c r="B291" s="2"/>
      <c r="C291" s="2"/>
      <c r="D291" s="2"/>
    </row>
    <row r="294" spans="1:53" x14ac:dyDescent="0.25">
      <c r="B294" t="s">
        <v>27</v>
      </c>
      <c r="C294" t="s">
        <v>29</v>
      </c>
      <c r="D294" t="s">
        <v>30</v>
      </c>
      <c r="E294" t="s">
        <v>30</v>
      </c>
    </row>
    <row r="295" spans="1:53" x14ac:dyDescent="0.25">
      <c r="A295" t="s">
        <v>28</v>
      </c>
      <c r="B295">
        <v>0</v>
      </c>
      <c r="C295">
        <v>10</v>
      </c>
      <c r="D295">
        <v>20</v>
      </c>
      <c r="E295">
        <v>40</v>
      </c>
      <c r="F295">
        <v>5</v>
      </c>
      <c r="G295">
        <v>2</v>
      </c>
    </row>
    <row r="296" spans="1:53" s="32" customFormat="1" x14ac:dyDescent="0.25">
      <c r="A296" s="32">
        <v>1</v>
      </c>
      <c r="B296" s="33">
        <f>B295+$A$296</f>
        <v>1</v>
      </c>
      <c r="C296" s="32">
        <f>_xlfn.CHISQ.DIST(B296,$C$295,FALSE)</f>
        <v>7.8975346316749158E-4</v>
      </c>
      <c r="F296" s="32">
        <f>_xlfn.CHISQ.DIST(B296,$F$295,FALSE)</f>
        <v>8.0656908173047784E-2</v>
      </c>
      <c r="G296" s="32">
        <f>_xlfn.CHISQ.DIST(B296,$G$295,FALSE)</f>
        <v>0.30326532985631671</v>
      </c>
      <c r="U296" s="32">
        <f>_xlfn.NORM.DIST(B296,0,1,FALSE)</f>
        <v>0.24197072451914337</v>
      </c>
    </row>
    <row r="297" spans="1:53" x14ac:dyDescent="0.25">
      <c r="B297" s="1">
        <f t="shared" ref="B297:B358" si="43">B296+$A$296</f>
        <v>2</v>
      </c>
      <c r="C297">
        <f t="shared" ref="C297:C327" si="44">_xlfn.CHISQ.DIST(B297,10,FALSE)</f>
        <v>7.6641550244050498E-3</v>
      </c>
      <c r="F297">
        <f t="shared" ref="F297:F314" si="45">_xlfn.CHISQ.DIST(B297,$F$295,FALSE)</f>
        <v>0.1383691658068649</v>
      </c>
      <c r="G297">
        <f t="shared" ref="G297:G306" si="46">_xlfn.CHISQ.DIST(B297,$G$295,FALSE)</f>
        <v>0.18393972058572117</v>
      </c>
      <c r="U297" s="32">
        <f t="shared" ref="U297:U347" si="47">_xlfn.NORM.DIST(B297,0,1,FALSE)</f>
        <v>5.3990966513188063E-2</v>
      </c>
    </row>
    <row r="298" spans="1:53" x14ac:dyDescent="0.25">
      <c r="B298" s="1">
        <f t="shared" si="43"/>
        <v>3</v>
      </c>
      <c r="C298">
        <f t="shared" si="44"/>
        <v>2.3533259078154699E-2</v>
      </c>
      <c r="F298">
        <f t="shared" si="45"/>
        <v>0.15418032980376931</v>
      </c>
      <c r="G298">
        <f t="shared" si="46"/>
        <v>0.11156508007421491</v>
      </c>
      <c r="U298" s="32">
        <f t="shared" si="47"/>
        <v>4.4318484119380075E-3</v>
      </c>
    </row>
    <row r="299" spans="1:53" ht="15" x14ac:dyDescent="0.3">
      <c r="B299" s="1">
        <f t="shared" si="43"/>
        <v>4</v>
      </c>
      <c r="C299">
        <f t="shared" si="44"/>
        <v>4.5111761078870896E-2</v>
      </c>
      <c r="D299">
        <f t="shared" ref="D299:D335" si="48">_xlfn.CHISQ.DIST(B299,$D$295,FALSE)</f>
        <v>9.5474626621949005E-5</v>
      </c>
      <c r="F299">
        <f t="shared" si="45"/>
        <v>0.14397591070183482</v>
      </c>
      <c r="G299">
        <f t="shared" si="46"/>
        <v>6.7667641618306337E-2</v>
      </c>
      <c r="U299" s="32">
        <f t="shared" si="47"/>
        <v>1.3383022576488537E-4</v>
      </c>
      <c r="AL299" s="35"/>
      <c r="AM299" s="36">
        <v>0.9</v>
      </c>
      <c r="AN299" s="36">
        <f>AM299-0.1</f>
        <v>0.8</v>
      </c>
      <c r="AO299" s="36">
        <f t="shared" ref="AO299:AU299" si="49">AN299-0.1</f>
        <v>0.70000000000000007</v>
      </c>
      <c r="AP299" s="36">
        <f t="shared" si="49"/>
        <v>0.60000000000000009</v>
      </c>
      <c r="AQ299" s="36">
        <f t="shared" si="49"/>
        <v>0.50000000000000011</v>
      </c>
      <c r="AR299" s="36">
        <f t="shared" si="49"/>
        <v>0.40000000000000013</v>
      </c>
      <c r="AS299" s="36">
        <f t="shared" si="49"/>
        <v>0.30000000000000016</v>
      </c>
      <c r="AT299" s="36">
        <f t="shared" si="49"/>
        <v>0.20000000000000015</v>
      </c>
      <c r="AU299" s="37">
        <f t="shared" si="49"/>
        <v>0.10000000000000014</v>
      </c>
      <c r="AV299" s="38">
        <f>AU299-0.05</f>
        <v>5.0000000000000142E-2</v>
      </c>
      <c r="AW299" s="38">
        <f>AV299-0.01</f>
        <v>4.000000000000014E-2</v>
      </c>
      <c r="AX299" s="38">
        <f>AW299-0.01</f>
        <v>3.0000000000000138E-2</v>
      </c>
      <c r="AY299" s="38">
        <f>AX299-0.01</f>
        <v>2.0000000000000136E-2</v>
      </c>
      <c r="AZ299" s="38">
        <f>AY299-0.01</f>
        <v>1.0000000000000136E-2</v>
      </c>
      <c r="BA299" s="211">
        <v>1E-3</v>
      </c>
    </row>
    <row r="300" spans="1:53" ht="15" x14ac:dyDescent="0.3">
      <c r="B300" s="1">
        <f t="shared" si="43"/>
        <v>5</v>
      </c>
      <c r="C300">
        <f t="shared" si="44"/>
        <v>6.6800942890542642E-2</v>
      </c>
      <c r="D300">
        <f t="shared" si="48"/>
        <v>4.3145036899170329E-4</v>
      </c>
      <c r="F300">
        <f t="shared" si="45"/>
        <v>0.12204152134938742</v>
      </c>
      <c r="G300">
        <f t="shared" si="46"/>
        <v>4.10424993119494E-2</v>
      </c>
      <c r="U300" s="32">
        <f t="shared" si="47"/>
        <v>1.4867195147342977E-6</v>
      </c>
      <c r="AL300" s="39">
        <v>1</v>
      </c>
      <c r="AM300" s="40">
        <f t="shared" ref="AM300:AM319" si="50">_xlfn.CHISQ.INV.RT(AM$299,$AL300)</f>
        <v>1.5790774093431218E-2</v>
      </c>
      <c r="AN300" s="40">
        <f t="shared" ref="AN300:BA315" si="51">_xlfn.CHISQ.INV.RT(AN$299,$AL300)</f>
        <v>6.4184754667301558E-2</v>
      </c>
      <c r="AO300" s="40">
        <f t="shared" si="51"/>
        <v>0.1484718618325454</v>
      </c>
      <c r="AP300" s="40">
        <f t="shared" si="51"/>
        <v>0.27499589772845601</v>
      </c>
      <c r="AQ300" s="40">
        <f t="shared" si="51"/>
        <v>0.45493642311957233</v>
      </c>
      <c r="AR300" s="40">
        <f t="shared" si="51"/>
        <v>0.70832630080079251</v>
      </c>
      <c r="AS300" s="40">
        <f t="shared" si="51"/>
        <v>1.0741941708575795</v>
      </c>
      <c r="AT300" s="40">
        <f t="shared" si="51"/>
        <v>1.6423744151498147</v>
      </c>
      <c r="AU300" s="40">
        <f t="shared" si="51"/>
        <v>2.7055434540954142</v>
      </c>
      <c r="AV300" s="40">
        <f t="shared" si="51"/>
        <v>3.8414588206941209</v>
      </c>
      <c r="AW300" s="40">
        <f t="shared" si="51"/>
        <v>4.2178845879213931</v>
      </c>
      <c r="AX300" s="40">
        <f t="shared" si="51"/>
        <v>4.7092922468850933</v>
      </c>
      <c r="AY300" s="40">
        <f t="shared" si="51"/>
        <v>5.411894431054332</v>
      </c>
      <c r="AZ300" s="40">
        <f t="shared" si="51"/>
        <v>6.6348966010211958</v>
      </c>
      <c r="BA300" s="41">
        <f t="shared" si="51"/>
        <v>10.827566170662733</v>
      </c>
    </row>
    <row r="301" spans="1:53" ht="15" x14ac:dyDescent="0.3">
      <c r="B301" s="1">
        <f t="shared" si="43"/>
        <v>6</v>
      </c>
      <c r="C301">
        <f t="shared" si="44"/>
        <v>8.4015677870770411E-2</v>
      </c>
      <c r="D301">
        <f t="shared" si="48"/>
        <v>1.3502519657802375E-3</v>
      </c>
      <c r="F301">
        <f t="shared" si="45"/>
        <v>9.7304346659282948E-2</v>
      </c>
      <c r="G301">
        <f t="shared" si="46"/>
        <v>2.4893534183931976E-2</v>
      </c>
      <c r="U301" s="32">
        <f t="shared" si="47"/>
        <v>6.0758828498232861E-9</v>
      </c>
      <c r="AL301" s="39">
        <f t="shared" ref="AL301:AL319" si="52">AL300+1</f>
        <v>2</v>
      </c>
      <c r="AM301" s="40">
        <f t="shared" si="50"/>
        <v>0.21072103131565256</v>
      </c>
      <c r="AN301" s="40">
        <f t="shared" si="51"/>
        <v>0.44628710262841936</v>
      </c>
      <c r="AO301" s="40">
        <f t="shared" si="51"/>
        <v>0.71334988787746456</v>
      </c>
      <c r="AP301" s="40">
        <f t="shared" si="51"/>
        <v>1.021651247531981</v>
      </c>
      <c r="AQ301" s="40">
        <f t="shared" si="51"/>
        <v>1.3862943611198901</v>
      </c>
      <c r="AR301" s="40">
        <f t="shared" si="51"/>
        <v>1.8325814637483095</v>
      </c>
      <c r="AS301" s="40">
        <f t="shared" si="51"/>
        <v>2.4079456086518709</v>
      </c>
      <c r="AT301" s="40">
        <f t="shared" si="51"/>
        <v>3.2188758248681992</v>
      </c>
      <c r="AU301" s="40">
        <f t="shared" si="51"/>
        <v>4.6051701859880882</v>
      </c>
      <c r="AV301" s="40">
        <f t="shared" si="51"/>
        <v>5.9914645471079764</v>
      </c>
      <c r="AW301" s="40">
        <f t="shared" si="51"/>
        <v>6.4377516497363949</v>
      </c>
      <c r="AX301" s="40">
        <f t="shared" si="51"/>
        <v>7.0131157946399538</v>
      </c>
      <c r="AY301" s="40">
        <f t="shared" si="51"/>
        <v>7.8240460108562786</v>
      </c>
      <c r="AZ301" s="40">
        <f t="shared" si="51"/>
        <v>9.2103403719761552</v>
      </c>
      <c r="BA301" s="41">
        <f t="shared" si="51"/>
        <v>13.815510557964274</v>
      </c>
    </row>
    <row r="302" spans="1:53" ht="15" x14ac:dyDescent="0.3">
      <c r="B302" s="1">
        <f t="shared" si="43"/>
        <v>7</v>
      </c>
      <c r="C302">
        <f t="shared" si="44"/>
        <v>9.4406142704409793E-2</v>
      </c>
      <c r="D302">
        <f t="shared" si="48"/>
        <v>3.2793568957362254E-3</v>
      </c>
      <c r="F302">
        <f t="shared" si="45"/>
        <v>7.4371267720122855E-2</v>
      </c>
      <c r="G302">
        <f t="shared" si="46"/>
        <v>1.509869171115925E-2</v>
      </c>
      <c r="U302" s="32">
        <f t="shared" si="47"/>
        <v>9.1347204083645936E-12</v>
      </c>
      <c r="AL302" s="39">
        <f t="shared" si="52"/>
        <v>3</v>
      </c>
      <c r="AM302" s="40">
        <f t="shared" si="50"/>
        <v>0.58437437415518312</v>
      </c>
      <c r="AN302" s="40">
        <f t="shared" si="51"/>
        <v>1.0051740130523492</v>
      </c>
      <c r="AO302" s="40">
        <f t="shared" si="51"/>
        <v>1.4236522430352796</v>
      </c>
      <c r="AP302" s="40">
        <f t="shared" si="51"/>
        <v>1.8691684033887161</v>
      </c>
      <c r="AQ302" s="40">
        <f t="shared" si="51"/>
        <v>2.3659738843753368</v>
      </c>
      <c r="AR302" s="40">
        <f t="shared" si="51"/>
        <v>2.9461660731019474</v>
      </c>
      <c r="AS302" s="40">
        <f t="shared" si="51"/>
        <v>3.6648707831703162</v>
      </c>
      <c r="AT302" s="40">
        <f t="shared" si="51"/>
        <v>4.6416276760874435</v>
      </c>
      <c r="AU302" s="40">
        <f t="shared" si="51"/>
        <v>6.25138863117032</v>
      </c>
      <c r="AV302" s="40">
        <f t="shared" si="51"/>
        <v>7.8147279032511729</v>
      </c>
      <c r="AW302" s="40">
        <f t="shared" si="51"/>
        <v>8.3111709108263039</v>
      </c>
      <c r="AX302" s="40">
        <f t="shared" si="51"/>
        <v>8.9472874988794402</v>
      </c>
      <c r="AY302" s="40">
        <f t="shared" si="51"/>
        <v>9.8374093111925784</v>
      </c>
      <c r="AZ302" s="40">
        <f t="shared" si="51"/>
        <v>11.344866730144343</v>
      </c>
      <c r="BA302" s="41">
        <f t="shared" si="51"/>
        <v>16.266236196238129</v>
      </c>
    </row>
    <row r="303" spans="1:53" ht="15" x14ac:dyDescent="0.3">
      <c r="B303" s="1">
        <f t="shared" si="43"/>
        <v>8</v>
      </c>
      <c r="C303">
        <f t="shared" si="44"/>
        <v>9.7683407406582309E-2</v>
      </c>
      <c r="D303">
        <f t="shared" si="48"/>
        <v>6.6155958455251466E-3</v>
      </c>
      <c r="F303">
        <f t="shared" si="45"/>
        <v>5.5111960944245489E-2</v>
      </c>
      <c r="G303">
        <f t="shared" si="46"/>
        <v>9.1578194443670893E-3</v>
      </c>
      <c r="U303" s="32">
        <f t="shared" si="47"/>
        <v>5.0522710835368927E-15</v>
      </c>
      <c r="AL303" s="39">
        <f t="shared" si="52"/>
        <v>4</v>
      </c>
      <c r="AM303" s="40">
        <f t="shared" si="50"/>
        <v>1.0636232167792243</v>
      </c>
      <c r="AN303" s="40">
        <f t="shared" si="51"/>
        <v>1.6487766180659693</v>
      </c>
      <c r="AO303" s="40">
        <f t="shared" si="51"/>
        <v>2.1946984214069825</v>
      </c>
      <c r="AP303" s="40">
        <f t="shared" si="51"/>
        <v>2.7528426841257727</v>
      </c>
      <c r="AQ303" s="40">
        <f t="shared" si="51"/>
        <v>3.3566939800333202</v>
      </c>
      <c r="AR303" s="40">
        <f t="shared" si="51"/>
        <v>4.0446264906493123</v>
      </c>
      <c r="AS303" s="40">
        <f t="shared" si="51"/>
        <v>4.8784329665604078</v>
      </c>
      <c r="AT303" s="40">
        <f t="shared" si="51"/>
        <v>5.988616694004242</v>
      </c>
      <c r="AU303" s="40">
        <f t="shared" si="51"/>
        <v>7.7794403397348546</v>
      </c>
      <c r="AV303" s="40">
        <f t="shared" si="51"/>
        <v>9.4877290367811504</v>
      </c>
      <c r="AW303" s="40">
        <f t="shared" si="51"/>
        <v>10.02551928656286</v>
      </c>
      <c r="AX303" s="40">
        <f t="shared" si="51"/>
        <v>10.711898289670371</v>
      </c>
      <c r="AY303" s="40">
        <f t="shared" si="51"/>
        <v>11.667843403834766</v>
      </c>
      <c r="AZ303" s="40">
        <f t="shared" si="51"/>
        <v>13.276704135987593</v>
      </c>
      <c r="BA303" s="41">
        <f t="shared" si="51"/>
        <v>18.466826952903173</v>
      </c>
    </row>
    <row r="304" spans="1:53" ht="15" x14ac:dyDescent="0.3">
      <c r="B304" s="1">
        <f t="shared" si="43"/>
        <v>9</v>
      </c>
      <c r="C304">
        <f t="shared" si="44"/>
        <v>9.4903810270062214E-2</v>
      </c>
      <c r="D304">
        <f t="shared" si="48"/>
        <v>1.1582289791329572E-2</v>
      </c>
      <c r="F304">
        <f t="shared" si="45"/>
        <v>3.9886635707442081E-2</v>
      </c>
      <c r="G304">
        <f t="shared" si="46"/>
        <v>5.5544982691211539E-3</v>
      </c>
      <c r="U304" s="32">
        <f t="shared" si="47"/>
        <v>1.0279773571668917E-18</v>
      </c>
      <c r="AL304" s="39">
        <f t="shared" si="52"/>
        <v>5</v>
      </c>
      <c r="AM304" s="40">
        <f t="shared" si="50"/>
        <v>1.6103079869623229</v>
      </c>
      <c r="AN304" s="40">
        <f t="shared" si="51"/>
        <v>2.3425343058411197</v>
      </c>
      <c r="AO304" s="40">
        <f t="shared" si="51"/>
        <v>2.9999081327599053</v>
      </c>
      <c r="AP304" s="40">
        <f t="shared" si="51"/>
        <v>3.6554996231415853</v>
      </c>
      <c r="AQ304" s="40">
        <f t="shared" si="51"/>
        <v>4.3514601910955228</v>
      </c>
      <c r="AR304" s="40">
        <f t="shared" si="51"/>
        <v>5.1318670744018196</v>
      </c>
      <c r="AS304" s="40">
        <f t="shared" si="51"/>
        <v>6.064429984154903</v>
      </c>
      <c r="AT304" s="40">
        <f t="shared" si="51"/>
        <v>7.289276126648959</v>
      </c>
      <c r="AU304" s="40">
        <f t="shared" si="51"/>
        <v>9.2363568997811161</v>
      </c>
      <c r="AV304" s="40">
        <f t="shared" si="51"/>
        <v>11.070497693516346</v>
      </c>
      <c r="AW304" s="40">
        <f t="shared" si="51"/>
        <v>11.64433184817881</v>
      </c>
      <c r="AX304" s="40">
        <f t="shared" si="51"/>
        <v>12.374618480559803</v>
      </c>
      <c r="AY304" s="40">
        <f t="shared" si="51"/>
        <v>13.388222599036329</v>
      </c>
      <c r="AZ304" s="40">
        <f t="shared" si="51"/>
        <v>15.086272469388959</v>
      </c>
      <c r="BA304" s="41">
        <f t="shared" si="51"/>
        <v>20.51500565243288</v>
      </c>
    </row>
    <row r="305" spans="2:54" ht="15" x14ac:dyDescent="0.3">
      <c r="B305" s="1">
        <f t="shared" si="43"/>
        <v>10</v>
      </c>
      <c r="C305">
        <f t="shared" si="44"/>
        <v>8.7733684883925356E-2</v>
      </c>
      <c r="D305">
        <f t="shared" si="48"/>
        <v>1.8132788707821874E-2</v>
      </c>
      <c r="F305">
        <f t="shared" si="45"/>
        <v>2.8334555341734478E-2</v>
      </c>
      <c r="G305">
        <f t="shared" si="46"/>
        <v>3.3689734995427331E-3</v>
      </c>
      <c r="U305" s="32">
        <f t="shared" si="47"/>
        <v>7.6945986267064199E-23</v>
      </c>
      <c r="AL305" s="39">
        <f t="shared" si="52"/>
        <v>6</v>
      </c>
      <c r="AM305" s="40">
        <f t="shared" si="50"/>
        <v>2.2041306564986418</v>
      </c>
      <c r="AN305" s="40">
        <f t="shared" si="51"/>
        <v>3.0700884052892863</v>
      </c>
      <c r="AO305" s="40">
        <f t="shared" si="51"/>
        <v>3.8275515882541242</v>
      </c>
      <c r="AP305" s="40">
        <f t="shared" si="51"/>
        <v>4.5701538080067605</v>
      </c>
      <c r="AQ305" s="40">
        <f t="shared" si="51"/>
        <v>5.3481206274471207</v>
      </c>
      <c r="AR305" s="40">
        <f t="shared" si="51"/>
        <v>6.2107571945266979</v>
      </c>
      <c r="AS305" s="40">
        <f t="shared" si="51"/>
        <v>7.2311353317319789</v>
      </c>
      <c r="AT305" s="40">
        <f t="shared" si="51"/>
        <v>8.5580597202506645</v>
      </c>
      <c r="AU305" s="40">
        <f t="shared" si="51"/>
        <v>10.644640675668416</v>
      </c>
      <c r="AV305" s="40">
        <f t="shared" si="51"/>
        <v>12.591587243743971</v>
      </c>
      <c r="AW305" s="40">
        <f t="shared" si="51"/>
        <v>13.197814645953374</v>
      </c>
      <c r="AX305" s="40">
        <f t="shared" si="51"/>
        <v>13.967616926778527</v>
      </c>
      <c r="AY305" s="40">
        <f t="shared" si="51"/>
        <v>15.033207751218946</v>
      </c>
      <c r="AZ305" s="40">
        <f t="shared" si="51"/>
        <v>16.811893829770899</v>
      </c>
      <c r="BA305" s="41">
        <f t="shared" si="51"/>
        <v>22.457744484825326</v>
      </c>
    </row>
    <row r="306" spans="2:54" ht="15" x14ac:dyDescent="0.3">
      <c r="B306" s="1">
        <f t="shared" si="43"/>
        <v>11</v>
      </c>
      <c r="C306">
        <f t="shared" si="44"/>
        <v>7.7909401862698444E-2</v>
      </c>
      <c r="D306">
        <f t="shared" si="48"/>
        <v>2.5932926338023823E-2</v>
      </c>
      <c r="F306">
        <f t="shared" si="45"/>
        <v>1.9827053952324078E-2</v>
      </c>
      <c r="G306">
        <f t="shared" si="46"/>
        <v>2.0433857192320337E-3</v>
      </c>
      <c r="U306" s="32">
        <f t="shared" si="47"/>
        <v>2.1188192535093538E-27</v>
      </c>
      <c r="AL306" s="39">
        <f t="shared" si="52"/>
        <v>7</v>
      </c>
      <c r="AM306" s="40">
        <f t="shared" si="50"/>
        <v>2.8331069178153436</v>
      </c>
      <c r="AN306" s="40">
        <f t="shared" si="51"/>
        <v>3.8223219077661374</v>
      </c>
      <c r="AO306" s="40">
        <f t="shared" si="51"/>
        <v>4.6713304489810739</v>
      </c>
      <c r="AP306" s="40">
        <f t="shared" si="51"/>
        <v>5.4932348601231018</v>
      </c>
      <c r="AQ306" s="40">
        <f t="shared" si="51"/>
        <v>6.3458111955215166</v>
      </c>
      <c r="AR306" s="40">
        <f t="shared" si="51"/>
        <v>7.2832076328403028</v>
      </c>
      <c r="AS306" s="40">
        <f t="shared" si="51"/>
        <v>8.3834308286083825</v>
      </c>
      <c r="AT306" s="40">
        <f t="shared" si="51"/>
        <v>9.8032499002408322</v>
      </c>
      <c r="AU306" s="40">
        <f t="shared" si="51"/>
        <v>12.017036623780523</v>
      </c>
      <c r="AV306" s="40">
        <f t="shared" si="51"/>
        <v>14.06714044934016</v>
      </c>
      <c r="AW306" s="40">
        <f t="shared" si="51"/>
        <v>14.703046671875478</v>
      </c>
      <c r="AX306" s="40">
        <f t="shared" si="51"/>
        <v>15.50908970279667</v>
      </c>
      <c r="AY306" s="40">
        <f t="shared" si="51"/>
        <v>16.622421871110859</v>
      </c>
      <c r="AZ306" s="40">
        <f t="shared" si="51"/>
        <v>18.475306906582329</v>
      </c>
      <c r="BA306" s="41">
        <f t="shared" si="51"/>
        <v>24.321886347856857</v>
      </c>
    </row>
    <row r="307" spans="2:54" ht="15" x14ac:dyDescent="0.3">
      <c r="B307" s="1">
        <f t="shared" si="43"/>
        <v>12</v>
      </c>
      <c r="C307">
        <f t="shared" si="44"/>
        <v>6.6926308769991685E-2</v>
      </c>
      <c r="D307">
        <f t="shared" si="48"/>
        <v>3.4419244510281444E-2</v>
      </c>
      <c r="F307">
        <f t="shared" si="45"/>
        <v>1.3702310000441044E-2</v>
      </c>
      <c r="U307" s="32">
        <f t="shared" si="47"/>
        <v>2.1463837356630605E-32</v>
      </c>
      <c r="AL307" s="39">
        <f t="shared" si="52"/>
        <v>8</v>
      </c>
      <c r="AM307" s="40">
        <f t="shared" si="50"/>
        <v>3.4895391256498209</v>
      </c>
      <c r="AN307" s="40">
        <f t="shared" si="51"/>
        <v>4.5935736120561668</v>
      </c>
      <c r="AO307" s="40">
        <f t="shared" si="51"/>
        <v>5.527422085225294</v>
      </c>
      <c r="AP307" s="40">
        <f t="shared" si="51"/>
        <v>6.4226455602419152</v>
      </c>
      <c r="AQ307" s="40">
        <f t="shared" si="51"/>
        <v>7.344121497701793</v>
      </c>
      <c r="AR307" s="40">
        <f t="shared" si="51"/>
        <v>8.3505254677536573</v>
      </c>
      <c r="AS307" s="40">
        <f t="shared" si="51"/>
        <v>9.5244581930718315</v>
      </c>
      <c r="AT307" s="40">
        <f t="shared" si="51"/>
        <v>11.030091430303107</v>
      </c>
      <c r="AU307" s="40">
        <f t="shared" si="51"/>
        <v>13.361566136511723</v>
      </c>
      <c r="AV307" s="40">
        <f t="shared" si="51"/>
        <v>15.507313055865446</v>
      </c>
      <c r="AW307" s="40">
        <f t="shared" si="51"/>
        <v>16.170775613603457</v>
      </c>
      <c r="AX307" s="40">
        <f t="shared" si="51"/>
        <v>17.01049321366807</v>
      </c>
      <c r="AY307" s="40">
        <f t="shared" si="51"/>
        <v>18.16823076482634</v>
      </c>
      <c r="AZ307" s="40">
        <f t="shared" si="51"/>
        <v>20.090235029663194</v>
      </c>
      <c r="BA307" s="41">
        <f t="shared" si="51"/>
        <v>26.124481558376143</v>
      </c>
    </row>
    <row r="308" spans="2:54" ht="15" x14ac:dyDescent="0.3">
      <c r="B308" s="1">
        <f t="shared" si="43"/>
        <v>13</v>
      </c>
      <c r="C308">
        <f t="shared" si="44"/>
        <v>5.5911102591969339E-2</v>
      </c>
      <c r="D308">
        <f t="shared" si="48"/>
        <v>4.2905508049520633E-2</v>
      </c>
      <c r="F308">
        <f t="shared" si="45"/>
        <v>9.3710813327610599E-3</v>
      </c>
      <c r="U308" s="32">
        <f t="shared" si="47"/>
        <v>7.9988277570068127E-38</v>
      </c>
      <c r="AL308" s="39">
        <f t="shared" si="52"/>
        <v>9</v>
      </c>
      <c r="AM308" s="40">
        <f t="shared" si="50"/>
        <v>4.168159008146108</v>
      </c>
      <c r="AN308" s="40">
        <f t="shared" si="51"/>
        <v>5.3800532117732924</v>
      </c>
      <c r="AO308" s="40">
        <f t="shared" si="51"/>
        <v>6.3933059644753092</v>
      </c>
      <c r="AP308" s="40">
        <f t="shared" si="51"/>
        <v>7.3570345020181076</v>
      </c>
      <c r="AQ308" s="40">
        <f t="shared" si="51"/>
        <v>8.3428326922529514</v>
      </c>
      <c r="AR308" s="40">
        <f t="shared" si="51"/>
        <v>9.4136400944828367</v>
      </c>
      <c r="AS308" s="40">
        <f t="shared" si="51"/>
        <v>10.656372006513017</v>
      </c>
      <c r="AT308" s="40">
        <f t="shared" si="51"/>
        <v>12.242145469847067</v>
      </c>
      <c r="AU308" s="40">
        <f t="shared" si="51"/>
        <v>14.683656573259832</v>
      </c>
      <c r="AV308" s="40">
        <f t="shared" si="51"/>
        <v>16.918977604620441</v>
      </c>
      <c r="AW308" s="40">
        <f t="shared" si="51"/>
        <v>17.608276844940026</v>
      </c>
      <c r="AX308" s="40">
        <f t="shared" si="51"/>
        <v>18.479586419764512</v>
      </c>
      <c r="AY308" s="40">
        <f t="shared" si="51"/>
        <v>19.679016094854529</v>
      </c>
      <c r="AZ308" s="40">
        <f t="shared" si="51"/>
        <v>21.665994333461885</v>
      </c>
      <c r="BA308" s="41">
        <f t="shared" si="51"/>
        <v>27.877164871256575</v>
      </c>
    </row>
    <row r="309" spans="2:54" ht="15" x14ac:dyDescent="0.3">
      <c r="B309" s="1">
        <f t="shared" si="43"/>
        <v>14</v>
      </c>
      <c r="C309">
        <f t="shared" si="44"/>
        <v>4.561309581867487E-2</v>
      </c>
      <c r="D309">
        <f t="shared" si="48"/>
        <v>5.0702334750295536E-2</v>
      </c>
      <c r="F309">
        <f t="shared" si="45"/>
        <v>6.3521316629997398E-3</v>
      </c>
      <c r="U309" s="32">
        <f t="shared" si="47"/>
        <v>1.0966065593889713E-43</v>
      </c>
      <c r="AL309" s="39">
        <f t="shared" si="52"/>
        <v>10</v>
      </c>
      <c r="AM309" s="40">
        <f t="shared" si="50"/>
        <v>4.8651820519253288</v>
      </c>
      <c r="AN309" s="40">
        <f t="shared" si="51"/>
        <v>6.1790792560393912</v>
      </c>
      <c r="AO309" s="40">
        <f t="shared" si="51"/>
        <v>7.2672181659276038</v>
      </c>
      <c r="AP309" s="40">
        <f t="shared" si="51"/>
        <v>8.2954717609410853</v>
      </c>
      <c r="AQ309" s="40">
        <f t="shared" si="51"/>
        <v>9.3418177655919674</v>
      </c>
      <c r="AR309" s="40">
        <f t="shared" si="51"/>
        <v>10.473236231395452</v>
      </c>
      <c r="AS309" s="40">
        <f t="shared" si="51"/>
        <v>11.78072262739401</v>
      </c>
      <c r="AT309" s="40">
        <f t="shared" si="51"/>
        <v>13.44195757497311</v>
      </c>
      <c r="AU309" s="40">
        <f t="shared" si="51"/>
        <v>15.987179172105256</v>
      </c>
      <c r="AV309" s="40">
        <f t="shared" si="51"/>
        <v>18.307038053275136</v>
      </c>
      <c r="AW309" s="40">
        <f t="shared" si="51"/>
        <v>19.020743348201098</v>
      </c>
      <c r="AX309" s="40">
        <f t="shared" si="51"/>
        <v>19.921910008235418</v>
      </c>
      <c r="AY309" s="40">
        <f t="shared" si="51"/>
        <v>21.160767541304669</v>
      </c>
      <c r="AZ309" s="40">
        <f t="shared" si="51"/>
        <v>23.20925115895432</v>
      </c>
      <c r="BA309" s="41">
        <f t="shared" si="51"/>
        <v>29.588298445074418</v>
      </c>
    </row>
    <row r="310" spans="2:54" ht="15" x14ac:dyDescent="0.3">
      <c r="B310" s="1">
        <f t="shared" si="43"/>
        <v>15</v>
      </c>
      <c r="C310">
        <f t="shared" si="44"/>
        <v>3.6458198227518335E-2</v>
      </c>
      <c r="D310">
        <f t="shared" si="48"/>
        <v>5.7220246939115683E-2</v>
      </c>
      <c r="E310">
        <f t="shared" ref="E310:E347" si="53">_xlfn.CHISQ.DIST(B310,$E$295,FALSE)</f>
        <v>9.6123765059495669E-5</v>
      </c>
      <c r="F310">
        <f t="shared" si="45"/>
        <v>4.2728444746070599E-3</v>
      </c>
      <c r="U310" s="32">
        <f t="shared" si="47"/>
        <v>5.5307095498444164E-50</v>
      </c>
      <c r="AL310" s="39">
        <f t="shared" si="52"/>
        <v>11</v>
      </c>
      <c r="AM310" s="40">
        <f t="shared" si="50"/>
        <v>5.5777847897998516</v>
      </c>
      <c r="AN310" s="40">
        <f t="shared" si="51"/>
        <v>6.9886735122305437</v>
      </c>
      <c r="AO310" s="40">
        <f t="shared" si="51"/>
        <v>8.1478677775096333</v>
      </c>
      <c r="AP310" s="40">
        <f t="shared" si="51"/>
        <v>9.2372854238415147</v>
      </c>
      <c r="AQ310" s="40">
        <f t="shared" si="51"/>
        <v>10.340998074391823</v>
      </c>
      <c r="AR310" s="40">
        <f t="shared" si="51"/>
        <v>11.529833840968829</v>
      </c>
      <c r="AS310" s="40">
        <f t="shared" si="51"/>
        <v>12.898668201780492</v>
      </c>
      <c r="AT310" s="40">
        <f t="shared" si="51"/>
        <v>14.631420508892496</v>
      </c>
      <c r="AU310" s="40">
        <f t="shared" si="51"/>
        <v>17.275008517500069</v>
      </c>
      <c r="AV310" s="40">
        <f t="shared" si="51"/>
        <v>19.675137572682488</v>
      </c>
      <c r="AW310" s="40">
        <f t="shared" si="51"/>
        <v>20.412034108750351</v>
      </c>
      <c r="AX310" s="40">
        <f t="shared" si="51"/>
        <v>21.341583050762051</v>
      </c>
      <c r="AY310" s="40">
        <f t="shared" si="51"/>
        <v>22.617940805565929</v>
      </c>
      <c r="AZ310" s="40">
        <f t="shared" si="51"/>
        <v>24.724970311318241</v>
      </c>
      <c r="BA310" s="41">
        <f t="shared" si="51"/>
        <v>31.264133620239996</v>
      </c>
    </row>
    <row r="311" spans="2:54" ht="15" x14ac:dyDescent="0.3">
      <c r="B311" s="1">
        <f t="shared" si="43"/>
        <v>16</v>
      </c>
      <c r="C311">
        <f t="shared" si="44"/>
        <v>2.8626144247681017E-2</v>
      </c>
      <c r="D311">
        <f t="shared" si="48"/>
        <v>6.2038458644709749E-2</v>
      </c>
      <c r="E311">
        <f t="shared" si="53"/>
        <v>1.9871437300026762E-4</v>
      </c>
      <c r="F311">
        <f t="shared" si="45"/>
        <v>2.8550448163175554E-3</v>
      </c>
      <c r="U311" s="32">
        <f t="shared" si="47"/>
        <v>1.0261630727919036E-56</v>
      </c>
      <c r="AL311" s="39">
        <f t="shared" si="52"/>
        <v>12</v>
      </c>
      <c r="AM311" s="40">
        <f t="shared" si="50"/>
        <v>6.3037960595843234</v>
      </c>
      <c r="AN311" s="40">
        <f t="shared" si="51"/>
        <v>7.8073276786609922</v>
      </c>
      <c r="AO311" s="40">
        <f t="shared" si="51"/>
        <v>9.034276588140175</v>
      </c>
      <c r="AP311" s="40">
        <f t="shared" si="51"/>
        <v>10.181971378751605</v>
      </c>
      <c r="AQ311" s="40">
        <f t="shared" si="51"/>
        <v>11.340322377424139</v>
      </c>
      <c r="AR311" s="40">
        <f t="shared" si="51"/>
        <v>12.583837966617502</v>
      </c>
      <c r="AS311" s="40">
        <f t="shared" si="51"/>
        <v>14.011100168421926</v>
      </c>
      <c r="AT311" s="40">
        <f t="shared" si="51"/>
        <v>15.811986221896948</v>
      </c>
      <c r="AU311" s="40">
        <f t="shared" si="51"/>
        <v>18.54934778670324</v>
      </c>
      <c r="AV311" s="40">
        <f t="shared" si="51"/>
        <v>21.026069817483055</v>
      </c>
      <c r="AW311" s="40">
        <f t="shared" si="51"/>
        <v>21.785109042899236</v>
      </c>
      <c r="AX311" s="40">
        <f t="shared" si="51"/>
        <v>22.741766126478979</v>
      </c>
      <c r="AY311" s="40">
        <f t="shared" si="51"/>
        <v>24.053956690175976</v>
      </c>
      <c r="AZ311" s="40">
        <f t="shared" si="51"/>
        <v>26.216967305535807</v>
      </c>
      <c r="BA311" s="41">
        <f t="shared" si="51"/>
        <v>32.909490407360217</v>
      </c>
    </row>
    <row r="312" spans="2:54" ht="15" x14ac:dyDescent="0.3">
      <c r="B312" s="1">
        <f t="shared" si="43"/>
        <v>17</v>
      </c>
      <c r="C312">
        <f t="shared" si="44"/>
        <v>2.2127450062679698E-2</v>
      </c>
      <c r="D312">
        <f t="shared" si="48"/>
        <v>6.4934306513819068E-2</v>
      </c>
      <c r="E312">
        <f t="shared" si="53"/>
        <v>3.8135713437158388E-4</v>
      </c>
      <c r="F312">
        <f t="shared" si="45"/>
        <v>1.8965272928167605E-3</v>
      </c>
      <c r="U312" s="32">
        <f t="shared" si="47"/>
        <v>7.0041821343185826E-64</v>
      </c>
      <c r="AL312" s="39">
        <f t="shared" si="52"/>
        <v>13</v>
      </c>
      <c r="AM312" s="40">
        <f t="shared" si="50"/>
        <v>7.0415045800954621</v>
      </c>
      <c r="AN312" s="40">
        <f t="shared" si="51"/>
        <v>8.6338608345061942</v>
      </c>
      <c r="AO312" s="40">
        <f t="shared" si="51"/>
        <v>9.9256824149468947</v>
      </c>
      <c r="AP312" s="40">
        <f t="shared" si="51"/>
        <v>11.129139940424487</v>
      </c>
      <c r="AQ312" s="40">
        <f t="shared" si="51"/>
        <v>12.339755882563898</v>
      </c>
      <c r="AR312" s="40">
        <f t="shared" si="51"/>
        <v>13.635570993661943</v>
      </c>
      <c r="AS312" s="40">
        <f t="shared" si="51"/>
        <v>15.118721650048712</v>
      </c>
      <c r="AT312" s="40">
        <f t="shared" si="51"/>
        <v>16.984797018243093</v>
      </c>
      <c r="AU312" s="40">
        <f t="shared" si="51"/>
        <v>19.811929307127556</v>
      </c>
      <c r="AV312" s="40">
        <f t="shared" si="51"/>
        <v>22.362032494826927</v>
      </c>
      <c r="AW312" s="40">
        <f t="shared" si="51"/>
        <v>23.142297203992715</v>
      </c>
      <c r="AX312" s="40">
        <f t="shared" si="51"/>
        <v>24.124947010208356</v>
      </c>
      <c r="AY312" s="40">
        <f t="shared" si="51"/>
        <v>25.471509144682237</v>
      </c>
      <c r="AZ312" s="40">
        <f t="shared" si="51"/>
        <v>27.688249610457007</v>
      </c>
      <c r="BA312" s="41">
        <f t="shared" si="51"/>
        <v>34.528178974870883</v>
      </c>
    </row>
    <row r="313" spans="2:54" ht="15" x14ac:dyDescent="0.3">
      <c r="B313" s="1">
        <f t="shared" si="43"/>
        <v>18</v>
      </c>
      <c r="C313">
        <f t="shared" si="44"/>
        <v>1.686857759609801E-2</v>
      </c>
      <c r="D313">
        <f t="shared" si="48"/>
        <v>6.5877820004761348E-2</v>
      </c>
      <c r="E313">
        <f t="shared" si="53"/>
        <v>6.8522425181078057E-4</v>
      </c>
      <c r="F313">
        <f t="shared" si="45"/>
        <v>1.2532774675207308E-3</v>
      </c>
      <c r="U313" s="32">
        <f t="shared" si="47"/>
        <v>1.7587495425951039E-71</v>
      </c>
      <c r="AL313" s="39">
        <f t="shared" si="52"/>
        <v>14</v>
      </c>
      <c r="AM313" s="40">
        <f t="shared" si="50"/>
        <v>7.78953360975237</v>
      </c>
      <c r="AN313" s="40">
        <f t="shared" si="51"/>
        <v>9.4673279868784217</v>
      </c>
      <c r="AO313" s="40">
        <f t="shared" si="51"/>
        <v>10.821477721666911</v>
      </c>
      <c r="AP313" s="40">
        <f t="shared" si="51"/>
        <v>12.078482478820577</v>
      </c>
      <c r="AQ313" s="40">
        <f t="shared" si="51"/>
        <v>13.339274149099543</v>
      </c>
      <c r="AR313" s="40">
        <f t="shared" si="51"/>
        <v>14.685294256286674</v>
      </c>
      <c r="AS313" s="40">
        <f t="shared" si="51"/>
        <v>16.222098613385594</v>
      </c>
      <c r="AT313" s="40">
        <f t="shared" si="51"/>
        <v>18.150770562408496</v>
      </c>
      <c r="AU313" s="40">
        <f t="shared" si="51"/>
        <v>21.06414421299705</v>
      </c>
      <c r="AV313" s="40">
        <f t="shared" si="51"/>
        <v>23.684791304840569</v>
      </c>
      <c r="AW313" s="40">
        <f t="shared" si="51"/>
        <v>24.485470222001144</v>
      </c>
      <c r="AX313" s="40">
        <f t="shared" si="51"/>
        <v>25.493125478107114</v>
      </c>
      <c r="AY313" s="40">
        <f t="shared" si="51"/>
        <v>26.872764642314291</v>
      </c>
      <c r="AZ313" s="40">
        <f t="shared" si="51"/>
        <v>29.141237740672754</v>
      </c>
      <c r="BA313" s="41">
        <f t="shared" si="51"/>
        <v>36.123273680398142</v>
      </c>
    </row>
    <row r="314" spans="2:54" ht="15" x14ac:dyDescent="0.3">
      <c r="B314" s="1">
        <f t="shared" si="43"/>
        <v>19</v>
      </c>
      <c r="C314">
        <f t="shared" si="44"/>
        <v>1.2701517347389361E-2</v>
      </c>
      <c r="D314">
        <f t="shared" si="48"/>
        <v>6.5001269846133941E-2</v>
      </c>
      <c r="E314">
        <f t="shared" si="53"/>
        <v>1.160984189644893E-3</v>
      </c>
      <c r="F314">
        <f t="shared" si="45"/>
        <v>8.2436896672612051E-4</v>
      </c>
      <c r="U314" s="32">
        <f t="shared" si="47"/>
        <v>1.6246360367736081E-79</v>
      </c>
      <c r="AL314" s="39">
        <f t="shared" si="52"/>
        <v>15</v>
      </c>
      <c r="AM314" s="40">
        <f t="shared" si="50"/>
        <v>8.5467562417045446</v>
      </c>
      <c r="AN314" s="40">
        <f t="shared" si="51"/>
        <v>10.306959006625286</v>
      </c>
      <c r="AO314" s="40">
        <f t="shared" si="51"/>
        <v>11.721168972944952</v>
      </c>
      <c r="AP314" s="40">
        <f t="shared" si="51"/>
        <v>13.029749599374524</v>
      </c>
      <c r="AQ314" s="40">
        <f t="shared" si="51"/>
        <v>14.338859510956645</v>
      </c>
      <c r="AR314" s="40">
        <f t="shared" si="51"/>
        <v>15.733222951587837</v>
      </c>
      <c r="AS314" s="40">
        <f t="shared" si="51"/>
        <v>17.321694498499216</v>
      </c>
      <c r="AT314" s="40">
        <f t="shared" si="51"/>
        <v>19.31065711059091</v>
      </c>
      <c r="AU314" s="40">
        <f t="shared" si="51"/>
        <v>22.307129581578682</v>
      </c>
      <c r="AV314" s="40">
        <f t="shared" si="51"/>
        <v>24.995790139728619</v>
      </c>
      <c r="AW314" s="40">
        <f t="shared" si="51"/>
        <v>25.816158911934764</v>
      </c>
      <c r="AX314" s="40">
        <f t="shared" si="51"/>
        <v>26.847937597269791</v>
      </c>
      <c r="AY314" s="40">
        <f t="shared" si="51"/>
        <v>28.259496337432999</v>
      </c>
      <c r="AZ314" s="40">
        <f t="shared" si="51"/>
        <v>30.577914166892448</v>
      </c>
      <c r="BA314" s="41">
        <f t="shared" si="51"/>
        <v>37.697298218353822</v>
      </c>
    </row>
    <row r="315" spans="2:54" ht="15" x14ac:dyDescent="0.3">
      <c r="B315" s="1">
        <f t="shared" si="43"/>
        <v>20</v>
      </c>
      <c r="C315">
        <f t="shared" si="44"/>
        <v>9.4583187005176789E-3</v>
      </c>
      <c r="D315">
        <f t="shared" si="48"/>
        <v>6.255501786056665E-2</v>
      </c>
      <c r="E315">
        <f t="shared" si="53"/>
        <v>1.8660813139987594E-3</v>
      </c>
      <c r="U315" s="32">
        <f t="shared" si="47"/>
        <v>5.5209483621597635E-88</v>
      </c>
      <c r="AL315" s="39">
        <f t="shared" si="52"/>
        <v>16</v>
      </c>
      <c r="AM315" s="40">
        <f t="shared" si="50"/>
        <v>9.3122363537960045</v>
      </c>
      <c r="AN315" s="40">
        <f t="shared" si="51"/>
        <v>11.152116471162987</v>
      </c>
      <c r="AO315" s="40">
        <f t="shared" si="51"/>
        <v>12.624348764059683</v>
      </c>
      <c r="AP315" s="40">
        <f t="shared" si="51"/>
        <v>13.982736338706516</v>
      </c>
      <c r="AQ315" s="40">
        <f t="shared" si="51"/>
        <v>15.338498885001606</v>
      </c>
      <c r="AR315" s="40">
        <f t="shared" si="51"/>
        <v>16.779536709932035</v>
      </c>
      <c r="AS315" s="40">
        <f t="shared" si="51"/>
        <v>18.417894392227844</v>
      </c>
      <c r="AT315" s="40">
        <f t="shared" si="51"/>
        <v>20.465079293787856</v>
      </c>
      <c r="AU315" s="40">
        <f t="shared" si="51"/>
        <v>23.541828923096105</v>
      </c>
      <c r="AV315" s="40">
        <f t="shared" si="51"/>
        <v>26.296227604864228</v>
      </c>
      <c r="AW315" s="40">
        <f t="shared" si="51"/>
        <v>27.135634261849482</v>
      </c>
      <c r="AX315" s="40">
        <f t="shared" si="51"/>
        <v>28.190742074561872</v>
      </c>
      <c r="AY315" s="40">
        <f t="shared" si="51"/>
        <v>29.633177314052674</v>
      </c>
      <c r="AZ315" s="40">
        <f t="shared" si="51"/>
        <v>31.999926908815137</v>
      </c>
      <c r="BA315" s="41">
        <f t="shared" si="51"/>
        <v>39.252354790768479</v>
      </c>
    </row>
    <row r="316" spans="2:54" ht="15" x14ac:dyDescent="0.3">
      <c r="B316" s="1">
        <f t="shared" si="43"/>
        <v>21</v>
      </c>
      <c r="C316">
        <f t="shared" si="44"/>
        <v>6.9730679765471083E-3</v>
      </c>
      <c r="D316">
        <f t="shared" si="48"/>
        <v>5.885977574422125E-2</v>
      </c>
      <c r="E316">
        <f t="shared" si="53"/>
        <v>2.8600920148216247E-3</v>
      </c>
      <c r="U316" s="32">
        <f t="shared" si="47"/>
        <v>6.9020294201272195E-97</v>
      </c>
      <c r="AL316" s="39">
        <f t="shared" si="52"/>
        <v>17</v>
      </c>
      <c r="AM316" s="40">
        <f t="shared" si="50"/>
        <v>10.085186334619332</v>
      </c>
      <c r="AN316" s="40">
        <f t="shared" ref="AN316:BA319" si="54">_xlfn.CHISQ.INV.RT(AN$299,$AL316)</f>
        <v>12.002265725267451</v>
      </c>
      <c r="AO316" s="40">
        <f t="shared" si="54"/>
        <v>13.530676139821471</v>
      </c>
      <c r="AP316" s="40">
        <f t="shared" si="54"/>
        <v>14.937271803101451</v>
      </c>
      <c r="AQ316" s="40">
        <f t="shared" si="54"/>
        <v>16.338182377392471</v>
      </c>
      <c r="AR316" s="40">
        <f t="shared" si="54"/>
        <v>17.824387262942075</v>
      </c>
      <c r="AS316" s="40">
        <f t="shared" si="54"/>
        <v>19.51102235312419</v>
      </c>
      <c r="AT316" s="40">
        <f t="shared" si="54"/>
        <v>21.614560533895979</v>
      </c>
      <c r="AU316" s="40">
        <f t="shared" si="54"/>
        <v>24.769035343901443</v>
      </c>
      <c r="AV316" s="40">
        <f t="shared" si="54"/>
        <v>27.587111638275314</v>
      </c>
      <c r="AW316" s="40">
        <f t="shared" si="54"/>
        <v>28.444965251969933</v>
      </c>
      <c r="AX316" s="40">
        <f t="shared" si="54"/>
        <v>29.522681920449397</v>
      </c>
      <c r="AY316" s="40">
        <f t="shared" si="54"/>
        <v>30.995047206160656</v>
      </c>
      <c r="AZ316" s="40">
        <f t="shared" si="54"/>
        <v>33.408663605004563</v>
      </c>
      <c r="BA316" s="41">
        <f t="shared" si="54"/>
        <v>40.790216706902527</v>
      </c>
    </row>
    <row r="317" spans="2:54" ht="15" x14ac:dyDescent="0.3">
      <c r="B317" s="1">
        <f t="shared" si="43"/>
        <v>22</v>
      </c>
      <c r="C317">
        <f t="shared" si="44"/>
        <v>5.0943666931247229E-3</v>
      </c>
      <c r="D317">
        <f t="shared" si="48"/>
        <v>5.4262754649102497E-2</v>
      </c>
      <c r="E317">
        <f t="shared" si="53"/>
        <v>4.198528448083833E-3</v>
      </c>
      <c r="U317" s="32">
        <f t="shared" si="47"/>
        <v>3.1742815528252622E-106</v>
      </c>
      <c r="AL317" s="39">
        <f t="shared" si="52"/>
        <v>18</v>
      </c>
      <c r="AM317" s="40">
        <f t="shared" si="50"/>
        <v>10.864936116508861</v>
      </c>
      <c r="AN317" s="40">
        <f t="shared" si="54"/>
        <v>12.856953096411937</v>
      </c>
      <c r="AO317" s="40">
        <f t="shared" si="54"/>
        <v>14.439862342260554</v>
      </c>
      <c r="AP317" s="40">
        <f t="shared" si="54"/>
        <v>15.893211721924297</v>
      </c>
      <c r="AQ317" s="40">
        <f t="shared" si="54"/>
        <v>17.337902368740743</v>
      </c>
      <c r="AR317" s="40">
        <f t="shared" si="54"/>
        <v>18.867904121248486</v>
      </c>
      <c r="AS317" s="40">
        <f t="shared" si="54"/>
        <v>20.601354114107988</v>
      </c>
      <c r="AT317" s="40">
        <f t="shared" si="54"/>
        <v>22.759545821104354</v>
      </c>
      <c r="AU317" s="40">
        <f t="shared" si="54"/>
        <v>25.989423082637206</v>
      </c>
      <c r="AV317" s="40">
        <f t="shared" si="54"/>
        <v>28.869299430392623</v>
      </c>
      <c r="AW317" s="40">
        <f t="shared" si="54"/>
        <v>29.745061120773244</v>
      </c>
      <c r="AX317" s="40">
        <f t="shared" si="54"/>
        <v>30.844729537582143</v>
      </c>
      <c r="AY317" s="40">
        <f t="shared" si="54"/>
        <v>32.346160930338819</v>
      </c>
      <c r="AZ317" s="40">
        <f t="shared" si="54"/>
        <v>34.805305734705023</v>
      </c>
      <c r="BA317" s="41">
        <f t="shared" si="54"/>
        <v>42.312396331679963</v>
      </c>
    </row>
    <row r="318" spans="2:54" ht="15" x14ac:dyDescent="0.3">
      <c r="B318" s="1">
        <f t="shared" si="43"/>
        <v>23</v>
      </c>
      <c r="C318">
        <f t="shared" si="44"/>
        <v>3.6911660452271038E-3</v>
      </c>
      <c r="D318">
        <f t="shared" si="48"/>
        <v>4.9102204730975443E-2</v>
      </c>
      <c r="E318">
        <f t="shared" si="53"/>
        <v>5.9258111656035756E-3</v>
      </c>
      <c r="U318" s="32">
        <f t="shared" si="47"/>
        <v>5.3705603650205916E-116</v>
      </c>
      <c r="AL318" s="39">
        <f t="shared" si="52"/>
        <v>19</v>
      </c>
      <c r="AM318" s="40">
        <f t="shared" si="50"/>
        <v>11.650910032126951</v>
      </c>
      <c r="AN318" s="40">
        <f t="shared" si="54"/>
        <v>13.71578970629044</v>
      </c>
      <c r="AO318" s="40">
        <f t="shared" si="54"/>
        <v>15.351660262605273</v>
      </c>
      <c r="AP318" s="40">
        <f t="shared" si="54"/>
        <v>16.850432972415874</v>
      </c>
      <c r="AQ318" s="40">
        <f t="shared" si="54"/>
        <v>18.33765289675647</v>
      </c>
      <c r="AR318" s="40">
        <f t="shared" si="54"/>
        <v>19.910198855635748</v>
      </c>
      <c r="AS318" s="40">
        <f t="shared" si="54"/>
        <v>21.689126583014882</v>
      </c>
      <c r="AT318" s="40">
        <f t="shared" si="54"/>
        <v>23.900417218356484</v>
      </c>
      <c r="AU318" s="40">
        <f t="shared" si="54"/>
        <v>27.203571029356823</v>
      </c>
      <c r="AV318" s="40">
        <f t="shared" si="54"/>
        <v>30.143527205646151</v>
      </c>
      <c r="AW318" s="40">
        <f t="shared" si="54"/>
        <v>31.036702902564485</v>
      </c>
      <c r="AX318" s="40">
        <f t="shared" si="54"/>
        <v>32.157720372812044</v>
      </c>
      <c r="AY318" s="40">
        <f t="shared" si="54"/>
        <v>33.687425071285332</v>
      </c>
      <c r="AZ318" s="40">
        <f t="shared" si="54"/>
        <v>36.190869129270013</v>
      </c>
      <c r="BA318" s="41">
        <f t="shared" si="54"/>
        <v>43.820195964517531</v>
      </c>
    </row>
    <row r="319" spans="2:54" ht="15" x14ac:dyDescent="0.3">
      <c r="B319" s="1">
        <f t="shared" si="43"/>
        <v>24</v>
      </c>
      <c r="C319">
        <f t="shared" si="44"/>
        <v>2.6542997366377865E-3</v>
      </c>
      <c r="D319">
        <f t="shared" si="48"/>
        <v>4.3682189951524716E-2</v>
      </c>
      <c r="E319">
        <f t="shared" si="53"/>
        <v>8.0683601401826399E-3</v>
      </c>
      <c r="U319" s="32">
        <f t="shared" si="47"/>
        <v>3.3427144417944578E-126</v>
      </c>
      <c r="AL319" s="42">
        <f t="shared" si="52"/>
        <v>20</v>
      </c>
      <c r="AM319" s="43">
        <f t="shared" si="50"/>
        <v>12.442609210450065</v>
      </c>
      <c r="AN319" s="43">
        <f t="shared" si="54"/>
        <v>14.578439217070521</v>
      </c>
      <c r="AO319" s="43">
        <f t="shared" si="54"/>
        <v>16.265856485012783</v>
      </c>
      <c r="AP319" s="43">
        <f t="shared" si="54"/>
        <v>17.808829473194237</v>
      </c>
      <c r="AQ319" s="43">
        <f t="shared" si="54"/>
        <v>19.33742922942826</v>
      </c>
      <c r="AR319" s="43">
        <f t="shared" si="54"/>
        <v>20.951368377763711</v>
      </c>
      <c r="AS319" s="43">
        <f t="shared" si="54"/>
        <v>22.774545073646429</v>
      </c>
      <c r="AT319" s="43">
        <f t="shared" si="54"/>
        <v>25.037505639637406</v>
      </c>
      <c r="AU319" s="43">
        <f t="shared" si="54"/>
        <v>28.411980584305624</v>
      </c>
      <c r="AV319" s="43">
        <f t="shared" si="54"/>
        <v>31.410432844230915</v>
      </c>
      <c r="AW319" s="43">
        <f t="shared" si="54"/>
        <v>32.320567387030934</v>
      </c>
      <c r="AX319" s="43">
        <f t="shared" si="54"/>
        <v>33.462378489085289</v>
      </c>
      <c r="AY319" s="43">
        <f t="shared" si="54"/>
        <v>35.019625540599264</v>
      </c>
      <c r="AZ319" s="43">
        <f t="shared" si="54"/>
        <v>37.566234786625003</v>
      </c>
      <c r="BA319" s="44">
        <f t="shared" si="54"/>
        <v>45.314746618125859</v>
      </c>
    </row>
    <row r="320" spans="2:54" x14ac:dyDescent="0.25">
      <c r="B320" s="1">
        <f t="shared" si="43"/>
        <v>25</v>
      </c>
      <c r="C320">
        <f t="shared" si="44"/>
        <v>1.8954738220614974E-3</v>
      </c>
      <c r="D320">
        <f t="shared" si="48"/>
        <v>3.8257454000432622E-2</v>
      </c>
      <c r="E320">
        <f t="shared" si="53"/>
        <v>1.0628809089229758E-2</v>
      </c>
      <c r="U320" s="32">
        <f t="shared" si="47"/>
        <v>7.6539297364193932E-137</v>
      </c>
      <c r="AM320" s="34"/>
      <c r="AN320" s="34"/>
      <c r="AO320" s="34"/>
      <c r="AP320" s="34"/>
      <c r="AQ320" s="34"/>
      <c r="AR320" s="34"/>
      <c r="AS320" s="34"/>
      <c r="AT320" s="34"/>
      <c r="AU320" s="34"/>
      <c r="AV320" s="34"/>
      <c r="AW320" s="34"/>
      <c r="AX320" s="34"/>
      <c r="AY320" s="34"/>
      <c r="AZ320" s="34"/>
      <c r="BA320" s="34"/>
      <c r="BB320" s="34"/>
    </row>
    <row r="321" spans="2:21" x14ac:dyDescent="0.25">
      <c r="B321" s="1">
        <f t="shared" si="43"/>
        <v>26</v>
      </c>
      <c r="C321">
        <f t="shared" si="44"/>
        <v>1.3449430873497057E-3</v>
      </c>
      <c r="D321">
        <f t="shared" si="48"/>
        <v>3.3026981066887194E-2</v>
      </c>
      <c r="E321">
        <f t="shared" si="53"/>
        <v>1.358222160979853E-2</v>
      </c>
      <c r="U321" s="32">
        <f t="shared" si="47"/>
        <v>6.4472599713978517E-148</v>
      </c>
    </row>
    <row r="322" spans="2:21" x14ac:dyDescent="0.25">
      <c r="B322" s="1">
        <f t="shared" si="43"/>
        <v>27</v>
      </c>
      <c r="C322">
        <f t="shared" si="44"/>
        <v>9.4867691123313026E-4</v>
      </c>
      <c r="D322">
        <f t="shared" si="48"/>
        <v>2.8134252588317296E-2</v>
      </c>
      <c r="E322">
        <f t="shared" si="53"/>
        <v>1.6874910527424503E-2</v>
      </c>
      <c r="U322" s="32">
        <f t="shared" si="47"/>
        <v>1.9978892591682797E-159</v>
      </c>
    </row>
    <row r="323" spans="2:21" x14ac:dyDescent="0.25">
      <c r="B323" s="1">
        <f t="shared" si="43"/>
        <v>28</v>
      </c>
      <c r="C323">
        <f t="shared" si="44"/>
        <v>6.6550015152255521E-4</v>
      </c>
      <c r="D323">
        <f t="shared" si="48"/>
        <v>2.3672086871194903E-2</v>
      </c>
      <c r="E323">
        <f t="shared" si="53"/>
        <v>2.0426093444194184E-2</v>
      </c>
      <c r="U323" s="32">
        <f t="shared" si="47"/>
        <v>2.2775774787366612E-171</v>
      </c>
    </row>
    <row r="324" spans="2:21" x14ac:dyDescent="0.25">
      <c r="B324" s="1">
        <f t="shared" si="43"/>
        <v>29</v>
      </c>
      <c r="C324">
        <f t="shared" si="44"/>
        <v>4.6447333219879958E-4</v>
      </c>
      <c r="D324">
        <f t="shared" si="48"/>
        <v>1.9690149064269361E-2</v>
      </c>
      <c r="E324">
        <f t="shared" si="53"/>
        <v>2.413222900769085E-2</v>
      </c>
      <c r="U324" s="32">
        <f t="shared" si="47"/>
        <v>9.551694541948838E-184</v>
      </c>
    </row>
    <row r="325" spans="2:21" x14ac:dyDescent="0.25">
      <c r="B325" s="1">
        <f t="shared" si="43"/>
        <v>30</v>
      </c>
      <c r="C325">
        <f t="shared" si="44"/>
        <v>3.2263135365426959E-4</v>
      </c>
      <c r="D325">
        <f t="shared" si="48"/>
        <v>1.6203583609868448E-2</v>
      </c>
      <c r="E325">
        <f t="shared" si="53"/>
        <v>2.7873536667376398E-2</v>
      </c>
      <c r="U325" s="32">
        <f t="shared" si="47"/>
        <v>1.4736461348785476E-196</v>
      </c>
    </row>
    <row r="326" spans="2:21" x14ac:dyDescent="0.25">
      <c r="B326" s="1">
        <f t="shared" si="43"/>
        <v>31</v>
      </c>
      <c r="C326">
        <f t="shared" si="44"/>
        <v>2.2311105294198837E-4</v>
      </c>
      <c r="D326">
        <f t="shared" si="48"/>
        <v>1.3201636955285189E-2</v>
      </c>
      <c r="E326">
        <f t="shared" si="53"/>
        <v>3.1521957478369007E-2</v>
      </c>
      <c r="U326" s="32">
        <f t="shared" si="47"/>
        <v>8.3639516058564629E-210</v>
      </c>
    </row>
    <row r="327" spans="2:21" x14ac:dyDescent="0.25">
      <c r="B327" s="1">
        <f t="shared" si="43"/>
        <v>32</v>
      </c>
      <c r="C327">
        <f t="shared" si="44"/>
        <v>1.5364802521669515E-4</v>
      </c>
      <c r="D327">
        <f t="shared" si="48"/>
        <v>1.0655531196403532E-2</v>
      </c>
      <c r="E327">
        <f t="shared" si="53"/>
        <v>3.4949691221564355E-2</v>
      </c>
      <c r="U327" s="32">
        <f t="shared" si="47"/>
        <v>1.7463662567587768E-223</v>
      </c>
    </row>
    <row r="328" spans="2:21" x14ac:dyDescent="0.25">
      <c r="B328" s="1">
        <f t="shared" si="43"/>
        <v>33</v>
      </c>
      <c r="D328">
        <f t="shared" si="48"/>
        <v>8.5251792257718343E-3</v>
      </c>
      <c r="E328">
        <f t="shared" si="53"/>
        <v>3.8037448011284759E-2</v>
      </c>
      <c r="U328" s="32">
        <f t="shared" si="47"/>
        <v>1.3414196673494362E-237</v>
      </c>
    </row>
    <row r="329" spans="2:21" x14ac:dyDescent="0.25">
      <c r="B329" s="1">
        <f t="shared" si="43"/>
        <v>34</v>
      </c>
      <c r="D329">
        <f t="shared" si="48"/>
        <v>6.7645836488724525E-3</v>
      </c>
      <c r="E329">
        <f t="shared" si="53"/>
        <v>4.0681662914840211E-2</v>
      </c>
      <c r="U329" s="32">
        <f t="shared" si="47"/>
        <v>3.7905264000928681E-252</v>
      </c>
    </row>
    <row r="330" spans="2:21" x14ac:dyDescent="0.25">
      <c r="B330" s="1">
        <f t="shared" si="43"/>
        <v>35</v>
      </c>
      <c r="D330">
        <f t="shared" si="48"/>
        <v>5.3259364042871045E-3</v>
      </c>
      <c r="E330">
        <f t="shared" si="53"/>
        <v>4.280010898155813E-2</v>
      </c>
      <c r="U330" s="32">
        <f t="shared" si="47"/>
        <v>3.9403962771360244E-267</v>
      </c>
    </row>
    <row r="331" spans="2:21" x14ac:dyDescent="0.25">
      <c r="B331" s="1">
        <f t="shared" si="43"/>
        <v>36</v>
      </c>
      <c r="D331">
        <f t="shared" si="48"/>
        <v>4.1625440565479076E-3</v>
      </c>
      <c r="E331">
        <f t="shared" si="53"/>
        <v>4.4335570968332252E-2</v>
      </c>
      <c r="U331" s="32">
        <f t="shared" si="47"/>
        <v>1.5069047176203946E-282</v>
      </c>
    </row>
    <row r="332" spans="2:21" x14ac:dyDescent="0.25">
      <c r="B332" s="1">
        <f t="shared" si="43"/>
        <v>37</v>
      </c>
      <c r="D332">
        <f t="shared" si="48"/>
        <v>3.2307593649112867E-3</v>
      </c>
      <c r="E332">
        <f t="shared" si="53"/>
        <v>4.5257473685307609E-2</v>
      </c>
      <c r="U332" s="32">
        <f t="shared" si="47"/>
        <v>2.1200065515246056E-298</v>
      </c>
    </row>
    <row r="333" spans="2:21" x14ac:dyDescent="0.25">
      <c r="B333" s="1">
        <f t="shared" si="43"/>
        <v>38</v>
      </c>
      <c r="D333">
        <f t="shared" si="48"/>
        <v>2.4911175644197585E-3</v>
      </c>
      <c r="E333">
        <f t="shared" si="53"/>
        <v>4.5561566234206145E-2</v>
      </c>
      <c r="U333" s="32">
        <f t="shared" si="47"/>
        <v>0</v>
      </c>
    </row>
    <row r="334" spans="2:21" x14ac:dyDescent="0.25">
      <c r="B334" s="1">
        <f t="shared" si="43"/>
        <v>39</v>
      </c>
      <c r="D334">
        <f t="shared" si="48"/>
        <v>1.9088687869595218E-3</v>
      </c>
      <c r="E334">
        <f t="shared" si="53"/>
        <v>4.5267926482262077E-2</v>
      </c>
      <c r="U334" s="32">
        <f t="shared" si="47"/>
        <v>0</v>
      </c>
    </row>
    <row r="335" spans="2:21" x14ac:dyDescent="0.25">
      <c r="B335" s="1">
        <f t="shared" si="43"/>
        <v>40</v>
      </c>
      <c r="D335">
        <f t="shared" si="48"/>
        <v>1.4540766295862838E-3</v>
      </c>
      <c r="E335">
        <f t="shared" si="53"/>
        <v>4.4417658696042611E-2</v>
      </c>
      <c r="U335" s="32">
        <f t="shared" si="47"/>
        <v>0</v>
      </c>
    </row>
    <row r="336" spans="2:21" x14ac:dyDescent="0.25">
      <c r="B336" s="1">
        <f t="shared" si="43"/>
        <v>41</v>
      </c>
      <c r="E336">
        <f t="shared" si="53"/>
        <v>4.3068710025422473E-2</v>
      </c>
      <c r="U336" s="32">
        <f t="shared" si="47"/>
        <v>0</v>
      </c>
    </row>
    <row r="337" spans="2:21" x14ac:dyDescent="0.25">
      <c r="B337" s="1">
        <f t="shared" si="43"/>
        <v>42</v>
      </c>
      <c r="E337">
        <f t="shared" si="53"/>
        <v>4.1291234096841684E-2</v>
      </c>
      <c r="U337" s="32">
        <f t="shared" si="47"/>
        <v>0</v>
      </c>
    </row>
    <row r="338" spans="2:21" x14ac:dyDescent="0.25">
      <c r="B338" s="1">
        <f t="shared" si="43"/>
        <v>43</v>
      </c>
      <c r="E338">
        <f t="shared" si="53"/>
        <v>3.9162892507461848E-2</v>
      </c>
      <c r="U338" s="32">
        <f t="shared" si="47"/>
        <v>0</v>
      </c>
    </row>
    <row r="339" spans="2:21" x14ac:dyDescent="0.25">
      <c r="B339" s="1">
        <f t="shared" si="43"/>
        <v>44</v>
      </c>
      <c r="E339">
        <f t="shared" si="53"/>
        <v>3.676441983017583E-2</v>
      </c>
      <c r="U339" s="32">
        <f t="shared" si="47"/>
        <v>0</v>
      </c>
    </row>
    <row r="340" spans="2:21" x14ac:dyDescent="0.25">
      <c r="B340" s="1">
        <f t="shared" si="43"/>
        <v>45</v>
      </c>
      <c r="E340">
        <f t="shared" si="53"/>
        <v>3.4175697300478577E-2</v>
      </c>
      <c r="U340" s="32">
        <f t="shared" si="47"/>
        <v>0</v>
      </c>
    </row>
    <row r="341" spans="2:21" x14ac:dyDescent="0.25">
      <c r="B341" s="1">
        <f t="shared" si="43"/>
        <v>46</v>
      </c>
      <c r="E341">
        <f t="shared" si="53"/>
        <v>3.1472495758082107E-2</v>
      </c>
      <c r="U341" s="32">
        <f t="shared" si="47"/>
        <v>0</v>
      </c>
    </row>
    <row r="342" spans="2:21" x14ac:dyDescent="0.25">
      <c r="B342" s="1">
        <f t="shared" si="43"/>
        <v>47</v>
      </c>
      <c r="E342">
        <f t="shared" si="53"/>
        <v>2.8723968484813688E-2</v>
      </c>
      <c r="U342" s="32">
        <f t="shared" si="47"/>
        <v>0</v>
      </c>
    </row>
    <row r="343" spans="2:21" x14ac:dyDescent="0.25">
      <c r="B343" s="1">
        <f t="shared" si="43"/>
        <v>48</v>
      </c>
      <c r="E343">
        <f t="shared" si="53"/>
        <v>2.5990905486068201E-2</v>
      </c>
      <c r="U343" s="32">
        <f t="shared" si="47"/>
        <v>0</v>
      </c>
    </row>
    <row r="344" spans="2:21" x14ac:dyDescent="0.25">
      <c r="B344" s="1">
        <f t="shared" si="43"/>
        <v>49</v>
      </c>
      <c r="E344">
        <f t="shared" si="53"/>
        <v>2.3324706059088006E-2</v>
      </c>
      <c r="U344" s="32">
        <f t="shared" si="47"/>
        <v>0</v>
      </c>
    </row>
    <row r="345" spans="2:21" x14ac:dyDescent="0.25">
      <c r="B345" s="1">
        <f t="shared" si="43"/>
        <v>50</v>
      </c>
      <c r="E345">
        <f t="shared" si="53"/>
        <v>2.0766987443396525E-2</v>
      </c>
      <c r="U345" s="32">
        <f t="shared" si="47"/>
        <v>0</v>
      </c>
    </row>
    <row r="346" spans="2:21" x14ac:dyDescent="0.25">
      <c r="B346" s="1">
        <f t="shared" si="43"/>
        <v>51</v>
      </c>
      <c r="E346">
        <f t="shared" si="53"/>
        <v>1.8349723428046402E-2</v>
      </c>
      <c r="U346" s="32">
        <f t="shared" si="47"/>
        <v>0</v>
      </c>
    </row>
    <row r="347" spans="2:21" x14ac:dyDescent="0.25">
      <c r="B347" s="1">
        <f t="shared" si="43"/>
        <v>52</v>
      </c>
      <c r="E347">
        <f t="shared" si="53"/>
        <v>1.60957962213189E-2</v>
      </c>
      <c r="U347" s="32">
        <f t="shared" si="47"/>
        <v>0</v>
      </c>
    </row>
    <row r="348" spans="2:21" x14ac:dyDescent="0.25">
      <c r="B348" s="1">
        <f t="shared" si="43"/>
        <v>53</v>
      </c>
      <c r="E348">
        <f t="shared" ref="E348:E357" si="55">_xlfn.CHISQ.DIST(B348,$E$295,FALSE)</f>
        <v>1.4019845170530792E-2</v>
      </c>
    </row>
    <row r="349" spans="2:21" x14ac:dyDescent="0.25">
      <c r="B349" s="1">
        <f t="shared" si="43"/>
        <v>54</v>
      </c>
      <c r="E349">
        <f t="shared" si="55"/>
        <v>1.2129304271646121E-2</v>
      </c>
    </row>
    <row r="350" spans="2:21" x14ac:dyDescent="0.25">
      <c r="B350" s="1">
        <f t="shared" si="43"/>
        <v>55</v>
      </c>
      <c r="E350">
        <f t="shared" si="55"/>
        <v>1.0425534110574146E-2</v>
      </c>
    </row>
    <row r="351" spans="2:21" x14ac:dyDescent="0.25">
      <c r="B351" s="1">
        <f t="shared" si="43"/>
        <v>56</v>
      </c>
      <c r="E351">
        <f t="shared" si="55"/>
        <v>8.9049705049964265E-3</v>
      </c>
    </row>
    <row r="352" spans="2:21" x14ac:dyDescent="0.25">
      <c r="B352" s="1">
        <f t="shared" si="43"/>
        <v>57</v>
      </c>
      <c r="E352">
        <f t="shared" si="55"/>
        <v>7.5602296706091263E-3</v>
      </c>
    </row>
    <row r="353" spans="1:41" x14ac:dyDescent="0.25">
      <c r="B353" s="1">
        <f t="shared" si="43"/>
        <v>58</v>
      </c>
      <c r="E353">
        <f t="shared" si="55"/>
        <v>6.3811267029011635E-3</v>
      </c>
    </row>
    <row r="354" spans="1:41" x14ac:dyDescent="0.25">
      <c r="B354" s="1">
        <f t="shared" si="43"/>
        <v>59</v>
      </c>
      <c r="E354">
        <f t="shared" si="55"/>
        <v>5.355579500683951E-3</v>
      </c>
    </row>
    <row r="355" spans="1:41" x14ac:dyDescent="0.25">
      <c r="B355" s="1">
        <f t="shared" si="43"/>
        <v>60</v>
      </c>
      <c r="E355">
        <f t="shared" si="55"/>
        <v>4.4703833376125999E-3</v>
      </c>
    </row>
    <row r="356" spans="1:41" x14ac:dyDescent="0.25">
      <c r="B356" s="1">
        <f t="shared" si="43"/>
        <v>61</v>
      </c>
      <c r="E356">
        <f t="shared" si="55"/>
        <v>3.7118518383013736E-3</v>
      </c>
    </row>
    <row r="357" spans="1:41" x14ac:dyDescent="0.25">
      <c r="B357" s="1">
        <f t="shared" si="43"/>
        <v>62</v>
      </c>
      <c r="E357">
        <f t="shared" si="55"/>
        <v>3.0663281285851522E-3</v>
      </c>
    </row>
    <row r="358" spans="1:41" x14ac:dyDescent="0.25">
      <c r="B358" s="1">
        <f t="shared" si="43"/>
        <v>63</v>
      </c>
    </row>
    <row r="361" spans="1:41" x14ac:dyDescent="0.25">
      <c r="B361" t="s">
        <v>31</v>
      </c>
    </row>
    <row r="362" spans="1:41" x14ac:dyDescent="0.25">
      <c r="C362" t="s">
        <v>16</v>
      </c>
      <c r="P362" t="s">
        <v>32</v>
      </c>
    </row>
    <row r="363" spans="1:41" ht="20.25" customHeight="1" x14ac:dyDescent="0.25">
      <c r="A363" t="s">
        <v>32</v>
      </c>
      <c r="C363">
        <v>0.25</v>
      </c>
      <c r="D363">
        <f>C363-0.05</f>
        <v>0.2</v>
      </c>
      <c r="E363">
        <f>D363-0.05</f>
        <v>0.15000000000000002</v>
      </c>
      <c r="F363">
        <f>E363-0.05</f>
        <v>0.10000000000000002</v>
      </c>
      <c r="G363">
        <f>F363-0.01</f>
        <v>9.0000000000000024E-2</v>
      </c>
      <c r="H363">
        <f>G363-0.01</f>
        <v>8.0000000000000029E-2</v>
      </c>
      <c r="I363">
        <f>H363-0.01</f>
        <v>7.0000000000000034E-2</v>
      </c>
      <c r="J363">
        <f>I363-0.01</f>
        <v>6.0000000000000032E-2</v>
      </c>
      <c r="K363" s="2">
        <f>0.001</f>
        <v>1E-3</v>
      </c>
      <c r="M363" t="s">
        <v>32</v>
      </c>
      <c r="N363" t="s">
        <v>28</v>
      </c>
      <c r="O363">
        <v>-5</v>
      </c>
      <c r="P363" s="1">
        <v>5</v>
      </c>
      <c r="Q363" s="1">
        <v>1</v>
      </c>
      <c r="R363" s="1"/>
      <c r="S363" s="1">
        <v>20</v>
      </c>
      <c r="AI363" s="482" t="s">
        <v>35</v>
      </c>
      <c r="AJ363" s="482"/>
      <c r="AK363" s="482"/>
      <c r="AL363" s="482"/>
      <c r="AM363" s="482"/>
      <c r="AN363" s="482"/>
      <c r="AO363" s="482"/>
    </row>
    <row r="364" spans="1:41" x14ac:dyDescent="0.25">
      <c r="B364" s="1">
        <v>1</v>
      </c>
      <c r="C364" s="29">
        <f t="shared" ref="C364:C383" si="56">_xlfn.T.INV(1-C$363,$B364)</f>
        <v>1</v>
      </c>
      <c r="D364" s="29">
        <f t="shared" ref="D364:K379" si="57">_xlfn.T.INV(1-D$363,$B364)</f>
        <v>1.376381920471174</v>
      </c>
      <c r="E364" s="29">
        <f t="shared" si="57"/>
        <v>1.9626105055051501</v>
      </c>
      <c r="F364" s="29">
        <f t="shared" si="57"/>
        <v>3.0776835371752544</v>
      </c>
      <c r="G364" s="29">
        <f t="shared" si="57"/>
        <v>3.4420225766692156</v>
      </c>
      <c r="H364" s="29">
        <f t="shared" si="57"/>
        <v>3.8947428549298557</v>
      </c>
      <c r="I364" s="29">
        <f t="shared" si="57"/>
        <v>4.4737428292115506</v>
      </c>
      <c r="J364" s="29">
        <f t="shared" si="57"/>
        <v>5.2421835811131725</v>
      </c>
      <c r="K364" s="29">
        <f>_xlfn.T.INV(1-K$363,$B364)</f>
        <v>318.30883898555015</v>
      </c>
      <c r="M364">
        <v>1</v>
      </c>
      <c r="N364">
        <v>0.1</v>
      </c>
      <c r="O364">
        <f>O363+$N$364</f>
        <v>-4.9000000000000004</v>
      </c>
      <c r="Q364">
        <f>_xlfn.T.DIST($O364,Q$363,FALSE)</f>
        <v>1.2727304525541407E-2</v>
      </c>
      <c r="S364">
        <f t="shared" ref="Q364:S379" si="58">_xlfn.T.DIST($O364,S$363,FALSE)</f>
        <v>9.9772125556130657E-5</v>
      </c>
      <c r="AI364" s="166">
        <v>0.4</v>
      </c>
      <c r="AJ364" s="167">
        <v>0.3</v>
      </c>
      <c r="AK364" s="167">
        <v>0.2</v>
      </c>
      <c r="AL364" s="167">
        <v>0.1</v>
      </c>
      <c r="AM364" s="168">
        <v>0.05</v>
      </c>
      <c r="AN364" s="168">
        <v>0.01</v>
      </c>
      <c r="AO364" s="169">
        <v>1E-3</v>
      </c>
    </row>
    <row r="365" spans="1:41" x14ac:dyDescent="0.25">
      <c r="B365" s="1">
        <f>B364+1</f>
        <v>2</v>
      </c>
      <c r="C365" s="29">
        <f t="shared" si="56"/>
        <v>0.81649658092772592</v>
      </c>
      <c r="D365" s="29">
        <f t="shared" si="57"/>
        <v>1.0606601717798214</v>
      </c>
      <c r="E365" s="29">
        <f t="shared" si="57"/>
        <v>1.3862065601673439</v>
      </c>
      <c r="F365" s="29">
        <f t="shared" si="57"/>
        <v>1.8856180831641269</v>
      </c>
      <c r="G365" s="29">
        <f t="shared" si="57"/>
        <v>2.0260814655403414</v>
      </c>
      <c r="H365" s="29">
        <f t="shared" si="57"/>
        <v>2.1894013475992842</v>
      </c>
      <c r="I365" s="29">
        <f t="shared" si="57"/>
        <v>2.3833781805368792</v>
      </c>
      <c r="J365" s="29">
        <f t="shared" si="57"/>
        <v>2.6201618703718186</v>
      </c>
      <c r="K365" s="29">
        <f t="shared" si="57"/>
        <v>22.327124770119866</v>
      </c>
      <c r="M365">
        <v>2</v>
      </c>
      <c r="O365">
        <f t="shared" ref="O365:O388" si="59">O364+$N$364</f>
        <v>-4.8000000000000007</v>
      </c>
      <c r="Q365">
        <f t="shared" si="58"/>
        <v>1.324084385123921E-2</v>
      </c>
      <c r="S365">
        <f t="shared" si="58"/>
        <v>1.2607815260492052E-4</v>
      </c>
      <c r="AG365" s="483" t="s">
        <v>30</v>
      </c>
      <c r="AH365" s="163">
        <v>1</v>
      </c>
      <c r="AI365" s="158">
        <f>ABS(_xlfn.T.INV(AI$364,$AH365))</f>
        <v>0.3249196962329064</v>
      </c>
      <c r="AJ365" s="159">
        <f t="shared" ref="AJ365:AO377" si="60">ABS(_xlfn.T.INV(AJ$364,$AH365))</f>
        <v>0.72654252800536101</v>
      </c>
      <c r="AK365" s="159">
        <f t="shared" si="60"/>
        <v>1.3763819204711736</v>
      </c>
      <c r="AL365" s="159">
        <f t="shared" si="60"/>
        <v>3.077683537175254</v>
      </c>
      <c r="AM365" s="159">
        <f t="shared" si="60"/>
        <v>6.3137515146750438</v>
      </c>
      <c r="AN365" s="159">
        <f t="shared" si="60"/>
        <v>31.820515953773956</v>
      </c>
      <c r="AO365" s="160">
        <f t="shared" si="60"/>
        <v>318.30883898555044</v>
      </c>
    </row>
    <row r="366" spans="1:41" x14ac:dyDescent="0.25">
      <c r="B366" s="1">
        <f t="shared" ref="B366:B383" si="61">B365+1</f>
        <v>3</v>
      </c>
      <c r="C366" s="29">
        <f t="shared" si="56"/>
        <v>0.76489232840434507</v>
      </c>
      <c r="D366" s="29">
        <f t="shared" si="57"/>
        <v>0.97847231236330501</v>
      </c>
      <c r="E366" s="29">
        <f t="shared" si="57"/>
        <v>1.2497781050332251</v>
      </c>
      <c r="F366" s="29">
        <f t="shared" si="57"/>
        <v>1.63774435369621</v>
      </c>
      <c r="G366" s="29">
        <f t="shared" si="57"/>
        <v>1.7412965686469539</v>
      </c>
      <c r="H366" s="29">
        <f t="shared" si="57"/>
        <v>1.8589281910254318</v>
      </c>
      <c r="I366" s="29">
        <f t="shared" si="57"/>
        <v>1.9950220773915683</v>
      </c>
      <c r="J366" s="29">
        <f t="shared" si="57"/>
        <v>2.156239188382898</v>
      </c>
      <c r="K366" s="29">
        <f t="shared" si="57"/>
        <v>10.214531852407381</v>
      </c>
      <c r="M366">
        <v>3</v>
      </c>
      <c r="O366">
        <f t="shared" si="59"/>
        <v>-4.7000000000000011</v>
      </c>
      <c r="Q366">
        <f>_xlfn.T.DIST($O366,Q$363,FALSE)</f>
        <v>1.3785616551918168E-2</v>
      </c>
      <c r="S366">
        <f t="shared" si="58"/>
        <v>1.5937488122949925E-4</v>
      </c>
      <c r="AG366" s="483"/>
      <c r="AH366" s="164">
        <f>AH365+1</f>
        <v>2</v>
      </c>
      <c r="AI366" s="161">
        <f t="shared" ref="AI366:AI377" si="62">ABS(_xlfn.T.INV(AI$364,$AH366))</f>
        <v>0.28867513459481314</v>
      </c>
      <c r="AJ366" s="144">
        <f t="shared" si="60"/>
        <v>0.61721339984836765</v>
      </c>
      <c r="AK366" s="144">
        <f t="shared" si="60"/>
        <v>1.0606601717798212</v>
      </c>
      <c r="AL366" s="144">
        <f t="shared" si="60"/>
        <v>1.8856180831641267</v>
      </c>
      <c r="AM366" s="144">
        <f t="shared" si="60"/>
        <v>2.9199855803537269</v>
      </c>
      <c r="AN366" s="144">
        <f t="shared" si="60"/>
        <v>6.9645567342832733</v>
      </c>
      <c r="AO366" s="145">
        <f t="shared" si="60"/>
        <v>22.327124770119873</v>
      </c>
    </row>
    <row r="367" spans="1:41" x14ac:dyDescent="0.25">
      <c r="B367" s="1">
        <f t="shared" si="61"/>
        <v>4</v>
      </c>
      <c r="C367" s="29">
        <f t="shared" si="56"/>
        <v>0.74069708411268287</v>
      </c>
      <c r="D367" s="29">
        <f t="shared" si="57"/>
        <v>0.94096457723518112</v>
      </c>
      <c r="E367" s="29">
        <f t="shared" si="57"/>
        <v>1.189566852443694</v>
      </c>
      <c r="F367" s="29">
        <f t="shared" si="57"/>
        <v>1.5332062740589445</v>
      </c>
      <c r="G367" s="29">
        <f t="shared" si="57"/>
        <v>1.622577965663601</v>
      </c>
      <c r="H367" s="29">
        <f t="shared" si="57"/>
        <v>1.7229325481642039</v>
      </c>
      <c r="I367" s="29">
        <f t="shared" si="57"/>
        <v>1.8375235149448661</v>
      </c>
      <c r="J367" s="29">
        <f t="shared" si="57"/>
        <v>1.9712324646690005</v>
      </c>
      <c r="K367" s="29">
        <f t="shared" si="57"/>
        <v>7.1731822197823059</v>
      </c>
      <c r="M367">
        <v>4</v>
      </c>
      <c r="O367">
        <f t="shared" si="59"/>
        <v>-4.6000000000000014</v>
      </c>
      <c r="Q367">
        <f t="shared" si="58"/>
        <v>1.4364164538979714E-2</v>
      </c>
      <c r="S367">
        <f t="shared" si="58"/>
        <v>2.0151494044364589E-4</v>
      </c>
      <c r="AG367" s="483"/>
      <c r="AH367" s="164">
        <f t="shared" ref="AH367:AH377" si="63">AH366+1</f>
        <v>3</v>
      </c>
      <c r="AI367" s="161">
        <f t="shared" si="62"/>
        <v>0.27667066233268955</v>
      </c>
      <c r="AJ367" s="144">
        <f t="shared" si="60"/>
        <v>0.58438972743981854</v>
      </c>
      <c r="AK367" s="144">
        <f t="shared" si="60"/>
        <v>0.97847231236330467</v>
      </c>
      <c r="AL367" s="144">
        <f t="shared" si="60"/>
        <v>1.63774435369621</v>
      </c>
      <c r="AM367" s="144">
        <f t="shared" si="60"/>
        <v>2.3533634348018233</v>
      </c>
      <c r="AN367" s="144">
        <f t="shared" si="60"/>
        <v>4.5407028585681335</v>
      </c>
      <c r="AO367" s="145">
        <f t="shared" si="60"/>
        <v>10.214531852407385</v>
      </c>
    </row>
    <row r="368" spans="1:41" x14ac:dyDescent="0.25">
      <c r="B368" s="1">
        <f t="shared" si="61"/>
        <v>5</v>
      </c>
      <c r="C368" s="29">
        <f t="shared" si="56"/>
        <v>0.72668684380042159</v>
      </c>
      <c r="D368" s="29">
        <f t="shared" si="57"/>
        <v>0.91954378024082639</v>
      </c>
      <c r="E368" s="29">
        <f t="shared" si="57"/>
        <v>1.1557673428942929</v>
      </c>
      <c r="F368" s="29">
        <f t="shared" si="57"/>
        <v>1.4758840488244818</v>
      </c>
      <c r="G368" s="29">
        <f t="shared" si="57"/>
        <v>1.5578693498253855</v>
      </c>
      <c r="H368" s="29">
        <f t="shared" si="57"/>
        <v>1.6493003537134059</v>
      </c>
      <c r="I368" s="29">
        <f t="shared" si="57"/>
        <v>1.7528901578754854</v>
      </c>
      <c r="J368" s="29">
        <f t="shared" si="57"/>
        <v>1.8726777590753612</v>
      </c>
      <c r="K368" s="29">
        <f t="shared" si="57"/>
        <v>5.8934295313560083</v>
      </c>
      <c r="O368">
        <f t="shared" si="59"/>
        <v>-4.5000000000000018</v>
      </c>
      <c r="Q368">
        <f t="shared" si="58"/>
        <v>1.497928876159014E-2</v>
      </c>
      <c r="S368">
        <f t="shared" si="58"/>
        <v>2.5483366783358535E-4</v>
      </c>
      <c r="AG368" s="483"/>
      <c r="AH368" s="164">
        <f t="shared" si="63"/>
        <v>4</v>
      </c>
      <c r="AI368" s="161">
        <f t="shared" si="62"/>
        <v>0.27072229470759762</v>
      </c>
      <c r="AJ368" s="144">
        <f t="shared" si="60"/>
        <v>0.56864906304970531</v>
      </c>
      <c r="AK368" s="144">
        <f t="shared" si="60"/>
        <v>0.94096457723518057</v>
      </c>
      <c r="AL368" s="144">
        <f t="shared" si="60"/>
        <v>1.5332062740589443</v>
      </c>
      <c r="AM368" s="144">
        <f t="shared" si="60"/>
        <v>2.1318467863266499</v>
      </c>
      <c r="AN368" s="144">
        <f t="shared" si="60"/>
        <v>3.7469473879791968</v>
      </c>
      <c r="AO368" s="145">
        <f t="shared" si="60"/>
        <v>7.1731822197823085</v>
      </c>
    </row>
    <row r="369" spans="2:41" x14ac:dyDescent="0.25">
      <c r="B369" s="1">
        <f t="shared" si="61"/>
        <v>6</v>
      </c>
      <c r="C369" s="29">
        <f t="shared" si="56"/>
        <v>0.71755819649141217</v>
      </c>
      <c r="D369" s="29">
        <f t="shared" si="57"/>
        <v>0.905703285180531</v>
      </c>
      <c r="E369" s="29">
        <f t="shared" si="57"/>
        <v>1.1341569306757562</v>
      </c>
      <c r="F369" s="29">
        <f t="shared" si="57"/>
        <v>1.4397557472651481</v>
      </c>
      <c r="G369" s="29">
        <f t="shared" si="57"/>
        <v>1.5172351475637251</v>
      </c>
      <c r="H369" s="29">
        <f t="shared" si="57"/>
        <v>1.6032512567041977</v>
      </c>
      <c r="I369" s="29">
        <f t="shared" si="57"/>
        <v>1.7002051420137168</v>
      </c>
      <c r="J369" s="29">
        <f t="shared" si="57"/>
        <v>1.8116524830500016</v>
      </c>
      <c r="K369" s="29">
        <f t="shared" si="57"/>
        <v>5.2076262387253625</v>
      </c>
      <c r="O369">
        <f t="shared" si="59"/>
        <v>-4.4000000000000021</v>
      </c>
      <c r="Q369">
        <f t="shared" si="58"/>
        <v>1.5634080853820745E-2</v>
      </c>
      <c r="S369">
        <f t="shared" si="58"/>
        <v>3.2227020253405592E-4</v>
      </c>
      <c r="AG369" s="483"/>
      <c r="AH369" s="164">
        <f t="shared" si="63"/>
        <v>5</v>
      </c>
      <c r="AI369" s="161">
        <f t="shared" si="62"/>
        <v>0.2671808657041464</v>
      </c>
      <c r="AJ369" s="144">
        <f t="shared" si="60"/>
        <v>0.55942964446936061</v>
      </c>
      <c r="AK369" s="144">
        <f t="shared" si="60"/>
        <v>0.91954378024082584</v>
      </c>
      <c r="AL369" s="144">
        <f t="shared" si="60"/>
        <v>1.4758840488244813</v>
      </c>
      <c r="AM369" s="144">
        <f t="shared" si="60"/>
        <v>2.0150483733330233</v>
      </c>
      <c r="AN369" s="144">
        <f t="shared" si="60"/>
        <v>3.3649299989072183</v>
      </c>
      <c r="AO369" s="145">
        <f t="shared" si="60"/>
        <v>5.893429531356011</v>
      </c>
    </row>
    <row r="370" spans="2:41" x14ac:dyDescent="0.25">
      <c r="B370" s="1">
        <f t="shared" si="61"/>
        <v>7</v>
      </c>
      <c r="C370" s="29">
        <f t="shared" si="56"/>
        <v>0.71114177808178591</v>
      </c>
      <c r="D370" s="29">
        <f t="shared" si="57"/>
        <v>0.89602964431376519</v>
      </c>
      <c r="E370" s="29">
        <f t="shared" si="57"/>
        <v>1.119159128361364</v>
      </c>
      <c r="F370" s="29">
        <f t="shared" si="57"/>
        <v>1.4149239276505086</v>
      </c>
      <c r="G370" s="29">
        <f t="shared" si="57"/>
        <v>1.4893755121906116</v>
      </c>
      <c r="H370" s="29">
        <f t="shared" si="57"/>
        <v>1.5717661843772184</v>
      </c>
      <c r="I370" s="29">
        <f t="shared" si="57"/>
        <v>1.6642952743148631</v>
      </c>
      <c r="J370" s="29">
        <f t="shared" si="57"/>
        <v>1.770207415582685</v>
      </c>
      <c r="K370" s="29">
        <f t="shared" si="57"/>
        <v>4.7852896286383331</v>
      </c>
      <c r="O370">
        <f t="shared" si="59"/>
        <v>-4.3000000000000025</v>
      </c>
      <c r="Q370">
        <f t="shared" si="58"/>
        <v>1.6331959270589551E-2</v>
      </c>
      <c r="S370">
        <f t="shared" si="58"/>
        <v>4.0751680997292469E-4</v>
      </c>
      <c r="AG370" s="483"/>
      <c r="AH370" s="164">
        <f t="shared" si="63"/>
        <v>6</v>
      </c>
      <c r="AI370" s="161">
        <f t="shared" si="62"/>
        <v>0.2648345329335724</v>
      </c>
      <c r="AJ370" s="144">
        <f t="shared" si="60"/>
        <v>0.5533809235515178</v>
      </c>
      <c r="AK370" s="144">
        <f t="shared" si="60"/>
        <v>0.905703285180531</v>
      </c>
      <c r="AL370" s="144">
        <f t="shared" si="60"/>
        <v>1.4397557472651481</v>
      </c>
      <c r="AM370" s="144">
        <f t="shared" si="60"/>
        <v>1.9431802805153031</v>
      </c>
      <c r="AN370" s="144">
        <f t="shared" si="60"/>
        <v>3.1426684032909828</v>
      </c>
      <c r="AO370" s="145">
        <f t="shared" si="60"/>
        <v>5.2076262387253633</v>
      </c>
    </row>
    <row r="371" spans="2:41" x14ac:dyDescent="0.25">
      <c r="B371" s="1">
        <f t="shared" si="61"/>
        <v>8</v>
      </c>
      <c r="C371" s="29">
        <f t="shared" si="56"/>
        <v>0.70638661264483749</v>
      </c>
      <c r="D371" s="29">
        <f t="shared" si="57"/>
        <v>0.88888951776701974</v>
      </c>
      <c r="E371" s="29">
        <f t="shared" si="57"/>
        <v>1.1081454445582559</v>
      </c>
      <c r="F371" s="29">
        <f t="shared" si="57"/>
        <v>1.3968153097438649</v>
      </c>
      <c r="G371" s="29">
        <f t="shared" si="57"/>
        <v>1.4690951536061367</v>
      </c>
      <c r="H371" s="29">
        <f t="shared" si="57"/>
        <v>1.5488923134549542</v>
      </c>
      <c r="I371" s="29">
        <f t="shared" si="57"/>
        <v>1.6382655027591202</v>
      </c>
      <c r="J371" s="29">
        <f t="shared" si="57"/>
        <v>1.7402432800876697</v>
      </c>
      <c r="K371" s="29">
        <f t="shared" si="57"/>
        <v>4.5007909337237244</v>
      </c>
      <c r="O371">
        <f t="shared" si="59"/>
        <v>-4.2000000000000028</v>
      </c>
      <c r="Q371">
        <f t="shared" si="58"/>
        <v>1.7076710632177586E-2</v>
      </c>
      <c r="S371">
        <f t="shared" si="58"/>
        <v>5.1520211777581241E-4</v>
      </c>
      <c r="AG371" s="483"/>
      <c r="AH371" s="164">
        <f t="shared" si="63"/>
        <v>7</v>
      </c>
      <c r="AI371" s="161">
        <f t="shared" si="62"/>
        <v>0.26316686135202377</v>
      </c>
      <c r="AJ371" s="144">
        <f t="shared" si="60"/>
        <v>0.54910965794728461</v>
      </c>
      <c r="AK371" s="144">
        <f t="shared" si="60"/>
        <v>0.89602964431376519</v>
      </c>
      <c r="AL371" s="144">
        <f t="shared" si="60"/>
        <v>1.4149239276505079</v>
      </c>
      <c r="AM371" s="144">
        <f t="shared" si="60"/>
        <v>1.8945786050900073</v>
      </c>
      <c r="AN371" s="144">
        <f t="shared" si="60"/>
        <v>2.997951566868529</v>
      </c>
      <c r="AO371" s="145">
        <f t="shared" si="60"/>
        <v>4.785289628638334</v>
      </c>
    </row>
    <row r="372" spans="2:41" x14ac:dyDescent="0.25">
      <c r="B372" s="1">
        <f t="shared" si="61"/>
        <v>9</v>
      </c>
      <c r="C372" s="29">
        <f t="shared" si="56"/>
        <v>0.70272214675132494</v>
      </c>
      <c r="D372" s="29">
        <f t="shared" si="57"/>
        <v>0.88340385968553581</v>
      </c>
      <c r="E372" s="29">
        <f t="shared" si="57"/>
        <v>1.0997161963946571</v>
      </c>
      <c r="F372" s="29">
        <f t="shared" si="57"/>
        <v>1.3830287383966327</v>
      </c>
      <c r="G372" s="29">
        <f t="shared" si="57"/>
        <v>1.453676008731247</v>
      </c>
      <c r="H372" s="29">
        <f t="shared" si="57"/>
        <v>1.5315274654855091</v>
      </c>
      <c r="I372" s="29">
        <f t="shared" si="57"/>
        <v>1.6185384239296574</v>
      </c>
      <c r="J372" s="29">
        <f t="shared" si="57"/>
        <v>1.7175789708577771</v>
      </c>
      <c r="K372" s="29">
        <f t="shared" si="57"/>
        <v>4.2968056627299189</v>
      </c>
      <c r="O372">
        <f t="shared" si="59"/>
        <v>-4.1000000000000032</v>
      </c>
      <c r="Q372">
        <f t="shared" si="58"/>
        <v>1.7872537124300404E-2</v>
      </c>
      <c r="S372">
        <f t="shared" si="58"/>
        <v>6.511147163637944E-4</v>
      </c>
      <c r="AG372" s="483"/>
      <c r="AH372" s="164">
        <f t="shared" si="63"/>
        <v>8</v>
      </c>
      <c r="AI372" s="161">
        <f t="shared" si="62"/>
        <v>0.26192109674883046</v>
      </c>
      <c r="AJ372" s="144">
        <f t="shared" si="60"/>
        <v>0.54593376354048295</v>
      </c>
      <c r="AK372" s="144">
        <f t="shared" si="60"/>
        <v>0.88888951776701974</v>
      </c>
      <c r="AL372" s="144">
        <f t="shared" si="60"/>
        <v>1.3968153097438645</v>
      </c>
      <c r="AM372" s="144">
        <f t="shared" si="60"/>
        <v>1.8595480375308981</v>
      </c>
      <c r="AN372" s="144">
        <f t="shared" si="60"/>
        <v>2.8964594477096224</v>
      </c>
      <c r="AO372" s="145">
        <f t="shared" si="60"/>
        <v>4.5007909337237244</v>
      </c>
    </row>
    <row r="373" spans="2:41" x14ac:dyDescent="0.25">
      <c r="B373" s="1">
        <f t="shared" si="61"/>
        <v>10</v>
      </c>
      <c r="C373" s="29">
        <f t="shared" si="56"/>
        <v>0.69981206131243168</v>
      </c>
      <c r="D373" s="29">
        <f t="shared" si="57"/>
        <v>0.87905782855058912</v>
      </c>
      <c r="E373" s="29">
        <f t="shared" si="57"/>
        <v>1.0930580735905258</v>
      </c>
      <c r="F373" s="29">
        <f t="shared" si="57"/>
        <v>1.3721836411103363</v>
      </c>
      <c r="G373" s="29">
        <f t="shared" si="57"/>
        <v>1.4415594541285655</v>
      </c>
      <c r="H373" s="29">
        <f t="shared" si="57"/>
        <v>1.5178979923877634</v>
      </c>
      <c r="I373" s="29">
        <f t="shared" si="57"/>
        <v>1.6030754454279104</v>
      </c>
      <c r="J373" s="29">
        <f t="shared" si="57"/>
        <v>1.6998408785322057</v>
      </c>
      <c r="K373" s="29">
        <f t="shared" si="57"/>
        <v>4.1437004940465894</v>
      </c>
      <c r="O373">
        <f t="shared" si="59"/>
        <v>-4.0000000000000036</v>
      </c>
      <c r="Q373">
        <f t="shared" si="58"/>
        <v>1.8724110951987658E-2</v>
      </c>
      <c r="S373">
        <f t="shared" si="58"/>
        <v>8.224743001331332E-4</v>
      </c>
      <c r="AG373" s="483"/>
      <c r="AH373" s="164">
        <f t="shared" si="63"/>
        <v>9</v>
      </c>
      <c r="AI373" s="161">
        <f t="shared" si="62"/>
        <v>0.26095533647391395</v>
      </c>
      <c r="AJ373" s="144">
        <f t="shared" si="60"/>
        <v>0.54348024145429763</v>
      </c>
      <c r="AK373" s="144">
        <f t="shared" si="60"/>
        <v>0.8834038596855347</v>
      </c>
      <c r="AL373" s="144">
        <f t="shared" si="60"/>
        <v>1.383028738396632</v>
      </c>
      <c r="AM373" s="144">
        <f t="shared" si="60"/>
        <v>1.8331129326562374</v>
      </c>
      <c r="AN373" s="144">
        <f t="shared" si="60"/>
        <v>2.8214379250258084</v>
      </c>
      <c r="AO373" s="145">
        <f t="shared" si="60"/>
        <v>4.2968056627299189</v>
      </c>
    </row>
    <row r="374" spans="2:41" x14ac:dyDescent="0.25">
      <c r="B374" s="1">
        <f t="shared" si="61"/>
        <v>11</v>
      </c>
      <c r="C374" s="29">
        <f t="shared" si="56"/>
        <v>0.69744532755988053</v>
      </c>
      <c r="D374" s="29">
        <f t="shared" si="57"/>
        <v>0.87552997807388222</v>
      </c>
      <c r="E374" s="29">
        <f t="shared" si="57"/>
        <v>1.0876663803503823</v>
      </c>
      <c r="F374" s="29">
        <f t="shared" si="57"/>
        <v>1.3634303180205409</v>
      </c>
      <c r="G374" s="29">
        <f t="shared" si="57"/>
        <v>1.4317881947818398</v>
      </c>
      <c r="H374" s="29">
        <f t="shared" si="57"/>
        <v>1.5069170351973142</v>
      </c>
      <c r="I374" s="29">
        <f t="shared" si="57"/>
        <v>1.590630579416745</v>
      </c>
      <c r="J374" s="29">
        <f t="shared" si="57"/>
        <v>1.685582536893647</v>
      </c>
      <c r="K374" s="29">
        <f t="shared" si="57"/>
        <v>4.0247010376307379</v>
      </c>
      <c r="O374">
        <f t="shared" si="59"/>
        <v>-3.9000000000000035</v>
      </c>
      <c r="Q374">
        <f t="shared" si="58"/>
        <v>1.9636637025526843E-2</v>
      </c>
      <c r="S374">
        <f t="shared" si="58"/>
        <v>1.0382581078689939E-3</v>
      </c>
      <c r="AG374" s="483"/>
      <c r="AH374" s="164">
        <f t="shared" si="63"/>
        <v>10</v>
      </c>
      <c r="AI374" s="161">
        <f t="shared" si="62"/>
        <v>0.26018482949207855</v>
      </c>
      <c r="AJ374" s="144">
        <f t="shared" si="60"/>
        <v>0.5415280387550151</v>
      </c>
      <c r="AK374" s="144">
        <f t="shared" si="60"/>
        <v>0.87905782855058789</v>
      </c>
      <c r="AL374" s="144">
        <f t="shared" si="60"/>
        <v>1.3721836411103363</v>
      </c>
      <c r="AM374" s="144">
        <f t="shared" si="60"/>
        <v>1.812461122811676</v>
      </c>
      <c r="AN374" s="144">
        <f t="shared" si="60"/>
        <v>2.7637694581126966</v>
      </c>
      <c r="AO374" s="145">
        <f t="shared" si="60"/>
        <v>4.1437004940465902</v>
      </c>
    </row>
    <row r="375" spans="2:41" x14ac:dyDescent="0.25">
      <c r="B375" s="1">
        <f t="shared" si="61"/>
        <v>12</v>
      </c>
      <c r="C375" s="29">
        <f t="shared" si="56"/>
        <v>0.69548286551179161</v>
      </c>
      <c r="D375" s="29">
        <f t="shared" si="57"/>
        <v>0.87260929158813938</v>
      </c>
      <c r="E375" s="29">
        <f t="shared" si="57"/>
        <v>1.0832114204565071</v>
      </c>
      <c r="F375" s="29">
        <f t="shared" si="57"/>
        <v>1.3562173340232055</v>
      </c>
      <c r="G375" s="29">
        <f t="shared" si="57"/>
        <v>1.4237420023582514</v>
      </c>
      <c r="H375" s="29">
        <f t="shared" si="57"/>
        <v>1.4978817197889509</v>
      </c>
      <c r="I375" s="29">
        <f t="shared" si="57"/>
        <v>1.5803997129506611</v>
      </c>
      <c r="J375" s="29">
        <f t="shared" si="57"/>
        <v>1.6738726673683526</v>
      </c>
      <c r="K375" s="29">
        <f t="shared" si="57"/>
        <v>3.9296332646264913</v>
      </c>
      <c r="O375">
        <f t="shared" si="59"/>
        <v>-3.8000000000000034</v>
      </c>
      <c r="Q375">
        <f t="shared" si="58"/>
        <v>2.0615925270970864E-2</v>
      </c>
      <c r="S375">
        <f t="shared" si="58"/>
        <v>1.3095907391567668E-3</v>
      </c>
      <c r="AG375" s="483"/>
      <c r="AH375" s="164">
        <f t="shared" si="63"/>
        <v>11</v>
      </c>
      <c r="AI375" s="161">
        <f t="shared" si="62"/>
        <v>0.25955586047627205</v>
      </c>
      <c r="AJ375" s="144">
        <f t="shared" si="60"/>
        <v>0.53993787846586339</v>
      </c>
      <c r="AK375" s="144">
        <f t="shared" si="60"/>
        <v>0.87552997807388222</v>
      </c>
      <c r="AL375" s="144">
        <f t="shared" si="60"/>
        <v>1.3634303180205409</v>
      </c>
      <c r="AM375" s="144">
        <f t="shared" si="60"/>
        <v>1.7958848187040437</v>
      </c>
      <c r="AN375" s="144">
        <f t="shared" si="60"/>
        <v>2.7180791838138614</v>
      </c>
      <c r="AO375" s="145">
        <f t="shared" si="60"/>
        <v>4.0247010376307388</v>
      </c>
    </row>
    <row r="376" spans="2:41" x14ac:dyDescent="0.25">
      <c r="B376" s="1">
        <f t="shared" si="61"/>
        <v>13</v>
      </c>
      <c r="C376" s="29">
        <f t="shared" si="56"/>
        <v>0.69382930423544042</v>
      </c>
      <c r="D376" s="29">
        <f t="shared" si="57"/>
        <v>0.87015153396817402</v>
      </c>
      <c r="E376" s="29">
        <f t="shared" si="57"/>
        <v>1.0794687370358969</v>
      </c>
      <c r="F376" s="29">
        <f t="shared" si="57"/>
        <v>1.3501712887800554</v>
      </c>
      <c r="G376" s="29">
        <f t="shared" si="57"/>
        <v>1.417001466780621</v>
      </c>
      <c r="H376" s="29">
        <f t="shared" si="57"/>
        <v>1.4903174686631111</v>
      </c>
      <c r="I376" s="29">
        <f t="shared" si="57"/>
        <v>1.571840836696589</v>
      </c>
      <c r="J376" s="29">
        <f t="shared" si="57"/>
        <v>1.6640847693095189</v>
      </c>
      <c r="K376" s="29">
        <f t="shared" si="57"/>
        <v>3.8519823911683875</v>
      </c>
      <c r="O376">
        <f t="shared" si="59"/>
        <v>-3.7000000000000033</v>
      </c>
      <c r="Q376">
        <f t="shared" si="58"/>
        <v>2.1668474212647389E-2</v>
      </c>
      <c r="S376">
        <f t="shared" si="58"/>
        <v>1.6502053059587736E-3</v>
      </c>
      <c r="AG376" s="483"/>
      <c r="AH376" s="164">
        <f t="shared" si="63"/>
        <v>12</v>
      </c>
      <c r="AI376" s="161">
        <f t="shared" si="62"/>
        <v>0.259032745676886</v>
      </c>
      <c r="AJ376" s="144">
        <f t="shared" si="60"/>
        <v>0.53861766820191781</v>
      </c>
      <c r="AK376" s="144">
        <f t="shared" si="60"/>
        <v>0.87260929158813794</v>
      </c>
      <c r="AL376" s="144">
        <f t="shared" si="60"/>
        <v>1.3562173340232047</v>
      </c>
      <c r="AM376" s="144">
        <f t="shared" si="60"/>
        <v>1.7822875556493194</v>
      </c>
      <c r="AN376" s="144">
        <f t="shared" si="60"/>
        <v>2.6809979931209149</v>
      </c>
      <c r="AO376" s="145">
        <f t="shared" si="60"/>
        <v>3.9296332646264918</v>
      </c>
    </row>
    <row r="377" spans="2:41" x14ac:dyDescent="0.25">
      <c r="B377" s="1">
        <f t="shared" si="61"/>
        <v>14</v>
      </c>
      <c r="C377" s="29">
        <f t="shared" si="56"/>
        <v>0.69241706957000537</v>
      </c>
      <c r="D377" s="29">
        <f t="shared" si="57"/>
        <v>0.86805478155742033</v>
      </c>
      <c r="E377" s="29">
        <f t="shared" si="57"/>
        <v>1.0762802445838149</v>
      </c>
      <c r="F377" s="29">
        <f t="shared" si="57"/>
        <v>1.3450303744546506</v>
      </c>
      <c r="G377" s="29">
        <f t="shared" si="57"/>
        <v>1.4112728559464041</v>
      </c>
      <c r="H377" s="29">
        <f t="shared" si="57"/>
        <v>1.4838923338016079</v>
      </c>
      <c r="I377" s="29">
        <f t="shared" si="57"/>
        <v>1.5645753763829184</v>
      </c>
      <c r="J377" s="29">
        <f t="shared" si="57"/>
        <v>1.6557819682561721</v>
      </c>
      <c r="K377" s="29">
        <f t="shared" si="57"/>
        <v>3.7873902375233461</v>
      </c>
      <c r="O377">
        <f t="shared" si="59"/>
        <v>-3.6000000000000032</v>
      </c>
      <c r="Q377">
        <f t="shared" si="58"/>
        <v>2.2801567778208465E-2</v>
      </c>
      <c r="S377">
        <f t="shared" si="58"/>
        <v>2.0769830997114948E-3</v>
      </c>
      <c r="AG377" s="483"/>
      <c r="AH377" s="165">
        <f t="shared" si="63"/>
        <v>13</v>
      </c>
      <c r="AI377" s="162">
        <f t="shared" si="62"/>
        <v>0.25859085771177004</v>
      </c>
      <c r="AJ377" s="146">
        <f t="shared" si="60"/>
        <v>0.53750408953684214</v>
      </c>
      <c r="AK377" s="146">
        <f t="shared" si="60"/>
        <v>0.87015153396817235</v>
      </c>
      <c r="AL377" s="146">
        <f t="shared" si="60"/>
        <v>1.3501712887800554</v>
      </c>
      <c r="AM377" s="146">
        <f t="shared" si="60"/>
        <v>1.7709333959868729</v>
      </c>
      <c r="AN377" s="146">
        <f t="shared" si="60"/>
        <v>2.650308837912192</v>
      </c>
      <c r="AO377" s="147">
        <f t="shared" si="60"/>
        <v>3.8519823911683879</v>
      </c>
    </row>
    <row r="378" spans="2:41" x14ac:dyDescent="0.25">
      <c r="B378" s="1">
        <f t="shared" si="61"/>
        <v>15</v>
      </c>
      <c r="C378" s="29">
        <f t="shared" si="56"/>
        <v>0.6911969489584906</v>
      </c>
      <c r="D378" s="29">
        <f t="shared" si="57"/>
        <v>0.86624497319495286</v>
      </c>
      <c r="E378" s="29">
        <f t="shared" si="57"/>
        <v>1.0735313955824191</v>
      </c>
      <c r="F378" s="29">
        <f t="shared" si="57"/>
        <v>1.3406056078504547</v>
      </c>
      <c r="G378" s="29">
        <f t="shared" si="57"/>
        <v>1.4063443474761013</v>
      </c>
      <c r="H378" s="29">
        <f t="shared" si="57"/>
        <v>1.4783671906267664</v>
      </c>
      <c r="I378" s="29">
        <f t="shared" si="57"/>
        <v>1.5583309488845543</v>
      </c>
      <c r="J378" s="29">
        <f t="shared" si="57"/>
        <v>1.6486503698000581</v>
      </c>
      <c r="K378" s="29">
        <f t="shared" si="57"/>
        <v>3.7328344253108989</v>
      </c>
      <c r="O378">
        <f t="shared" si="59"/>
        <v>-3.5000000000000031</v>
      </c>
      <c r="Q378">
        <f t="shared" si="58"/>
        <v>2.4023387636512468E-2</v>
      </c>
      <c r="S378">
        <f t="shared" si="58"/>
        <v>2.6105772275963257E-3</v>
      </c>
    </row>
    <row r="379" spans="2:41" x14ac:dyDescent="0.25">
      <c r="B379" s="1">
        <f t="shared" si="61"/>
        <v>16</v>
      </c>
      <c r="C379" s="29">
        <f t="shared" si="56"/>
        <v>0.69013225381055954</v>
      </c>
      <c r="D379" s="29">
        <f t="shared" si="57"/>
        <v>0.86466700179829137</v>
      </c>
      <c r="E379" s="29">
        <f t="shared" si="57"/>
        <v>1.071137163284315</v>
      </c>
      <c r="F379" s="29">
        <f t="shared" si="57"/>
        <v>1.3367571673273158</v>
      </c>
      <c r="G379" s="29">
        <f t="shared" si="57"/>
        <v>1.4020593520350533</v>
      </c>
      <c r="H379" s="29">
        <f t="shared" si="57"/>
        <v>1.4735654297055016</v>
      </c>
      <c r="I379" s="29">
        <f t="shared" si="57"/>
        <v>1.5529065900494612</v>
      </c>
      <c r="J379" s="29">
        <f t="shared" si="57"/>
        <v>1.6424586587324606</v>
      </c>
      <c r="K379" s="29">
        <f t="shared" si="57"/>
        <v>3.686154792686013</v>
      </c>
      <c r="O379">
        <f t="shared" si="59"/>
        <v>-3.400000000000003</v>
      </c>
      <c r="Q379">
        <f t="shared" si="58"/>
        <v>2.5343143804441894E-2</v>
      </c>
      <c r="S379">
        <f t="shared" si="58"/>
        <v>3.2761226464425256E-3</v>
      </c>
    </row>
    <row r="380" spans="2:41" x14ac:dyDescent="0.25">
      <c r="B380" s="1">
        <f t="shared" si="61"/>
        <v>17</v>
      </c>
      <c r="C380" s="29">
        <f t="shared" si="56"/>
        <v>0.68919507515393985</v>
      </c>
      <c r="D380" s="29">
        <f t="shared" ref="D380:K383" si="64">_xlfn.T.INV(1-D$363,$B380)</f>
        <v>0.86327901742005297</v>
      </c>
      <c r="E380" s="29">
        <f t="shared" si="64"/>
        <v>1.0690331106211022</v>
      </c>
      <c r="F380" s="29">
        <f t="shared" si="64"/>
        <v>1.3333793897216262</v>
      </c>
      <c r="G380" s="29">
        <f t="shared" si="64"/>
        <v>1.3982996204715037</v>
      </c>
      <c r="H380" s="29">
        <f t="shared" si="64"/>
        <v>1.4693537904459448</v>
      </c>
      <c r="I380" s="29">
        <f t="shared" si="64"/>
        <v>1.5481507992859955</v>
      </c>
      <c r="J380" s="29">
        <f t="shared" si="64"/>
        <v>1.6370326343574018</v>
      </c>
      <c r="K380" s="29">
        <f t="shared" si="64"/>
        <v>3.6457673800784094</v>
      </c>
      <c r="O380">
        <f t="shared" si="59"/>
        <v>-3.3000000000000029</v>
      </c>
      <c r="Q380">
        <f t="shared" ref="Q380:S396" si="65">_xlfn.T.DIST($O380,Q$363,FALSE)</f>
        <v>2.6771226760621544E-2</v>
      </c>
      <c r="S380">
        <f t="shared" si="65"/>
        <v>4.1040302887850643E-3</v>
      </c>
    </row>
    <row r="381" spans="2:41" x14ac:dyDescent="0.25">
      <c r="B381" s="1">
        <f t="shared" si="61"/>
        <v>18</v>
      </c>
      <c r="C381" s="29">
        <f t="shared" si="56"/>
        <v>0.68836380646620021</v>
      </c>
      <c r="D381" s="29">
        <f t="shared" si="64"/>
        <v>0.86204866798959834</v>
      </c>
      <c r="E381" s="29">
        <f t="shared" si="64"/>
        <v>1.0671695155355498</v>
      </c>
      <c r="F381" s="29">
        <f t="shared" si="64"/>
        <v>1.3303909435699099</v>
      </c>
      <c r="G381" s="29">
        <f t="shared" si="64"/>
        <v>1.3949741911364113</v>
      </c>
      <c r="H381" s="29">
        <f t="shared" si="64"/>
        <v>1.4656298358386455</v>
      </c>
      <c r="I381" s="29">
        <f t="shared" si="64"/>
        <v>1.5439472107316299</v>
      </c>
      <c r="J381" s="29">
        <f t="shared" si="64"/>
        <v>1.6322386167036489</v>
      </c>
      <c r="K381" s="29">
        <f t="shared" si="64"/>
        <v>3.6104848848250928</v>
      </c>
      <c r="O381">
        <f t="shared" si="59"/>
        <v>-3.2000000000000028</v>
      </c>
      <c r="Q381">
        <f t="shared" si="65"/>
        <v>2.8319384891796279E-2</v>
      </c>
      <c r="S381">
        <f t="shared" si="65"/>
        <v>5.1308560784475822E-3</v>
      </c>
    </row>
    <row r="382" spans="2:41" x14ac:dyDescent="0.25">
      <c r="B382" s="1">
        <f t="shared" si="61"/>
        <v>19</v>
      </c>
      <c r="C382" s="29">
        <f t="shared" si="56"/>
        <v>0.68762146020395809</v>
      </c>
      <c r="D382" s="29">
        <f t="shared" si="64"/>
        <v>0.86095055026892919</v>
      </c>
      <c r="E382" s="29">
        <f t="shared" si="64"/>
        <v>1.0655073985870127</v>
      </c>
      <c r="F382" s="29">
        <f t="shared" si="64"/>
        <v>1.3277282090267981</v>
      </c>
      <c r="G382" s="29">
        <f t="shared" si="64"/>
        <v>1.3920119509358337</v>
      </c>
      <c r="H382" s="29">
        <f t="shared" si="64"/>
        <v>1.4623135311701787</v>
      </c>
      <c r="I382" s="29">
        <f t="shared" si="64"/>
        <v>1.540204970601871</v>
      </c>
      <c r="J382" s="29">
        <f t="shared" si="64"/>
        <v>1.6279723177108341</v>
      </c>
      <c r="K382" s="29">
        <f t="shared" si="64"/>
        <v>3.5794001489547154</v>
      </c>
      <c r="O382">
        <f t="shared" si="59"/>
        <v>-3.1000000000000028</v>
      </c>
      <c r="Q382">
        <f t="shared" si="65"/>
        <v>3.0000931779810572E-2</v>
      </c>
      <c r="S382">
        <f t="shared" si="65"/>
        <v>6.4002261055124115E-3</v>
      </c>
    </row>
    <row r="383" spans="2:41" x14ac:dyDescent="0.25">
      <c r="B383" s="1">
        <f t="shared" si="61"/>
        <v>20</v>
      </c>
      <c r="C383" s="29">
        <f t="shared" si="56"/>
        <v>0.68695449644880313</v>
      </c>
      <c r="D383" s="29">
        <f t="shared" si="64"/>
        <v>0.85996443973238734</v>
      </c>
      <c r="E383" s="29">
        <f t="shared" si="64"/>
        <v>1.0640157711603981</v>
      </c>
      <c r="F383" s="29">
        <f t="shared" si="64"/>
        <v>1.3253407069850465</v>
      </c>
      <c r="G383" s="29">
        <f t="shared" si="64"/>
        <v>1.3893565033243753</v>
      </c>
      <c r="H383" s="29">
        <f t="shared" si="64"/>
        <v>1.4593414396600266</v>
      </c>
      <c r="I383" s="29">
        <f t="shared" si="64"/>
        <v>1.5368521116394029</v>
      </c>
      <c r="J383" s="29">
        <f t="shared" si="64"/>
        <v>1.6241511876853643</v>
      </c>
      <c r="K383" s="29">
        <f t="shared" si="64"/>
        <v>3.5518083432033323</v>
      </c>
      <c r="O383">
        <f t="shared" si="59"/>
        <v>-3.0000000000000027</v>
      </c>
      <c r="Q383">
        <f t="shared" si="65"/>
        <v>3.1830988618379019E-2</v>
      </c>
      <c r="S383">
        <f t="shared" si="65"/>
        <v>7.9637866461806147E-3</v>
      </c>
    </row>
    <row r="384" spans="2:41" x14ac:dyDescent="0.25">
      <c r="B384" s="1"/>
      <c r="O384">
        <f t="shared" si="59"/>
        <v>-2.9000000000000026</v>
      </c>
      <c r="Q384">
        <f t="shared" si="65"/>
        <v>3.3826767926013836E-2</v>
      </c>
      <c r="S384">
        <f t="shared" si="65"/>
        <v>9.8821317664986742E-3</v>
      </c>
    </row>
    <row r="385" spans="15:19" x14ac:dyDescent="0.25">
      <c r="O385">
        <f t="shared" si="59"/>
        <v>-2.8000000000000025</v>
      </c>
      <c r="Q385">
        <f t="shared" si="65"/>
        <v>3.6007905676899342E-2</v>
      </c>
      <c r="S385">
        <f t="shared" si="65"/>
        <v>1.2225641868022486E-2</v>
      </c>
    </row>
    <row r="386" spans="15:19" x14ac:dyDescent="0.25">
      <c r="O386">
        <f t="shared" si="59"/>
        <v>-2.7000000000000024</v>
      </c>
      <c r="Q386">
        <f t="shared" si="65"/>
        <v>3.8396849961856473E-2</v>
      </c>
      <c r="S386">
        <f t="shared" si="65"/>
        <v>1.5075144023375658E-2</v>
      </c>
    </row>
    <row r="387" spans="15:19" x14ac:dyDescent="0.25">
      <c r="O387">
        <f t="shared" si="59"/>
        <v>-2.6000000000000023</v>
      </c>
      <c r="Q387">
        <f t="shared" si="65"/>
        <v>4.1019315229869867E-2</v>
      </c>
      <c r="S387">
        <f t="shared" si="65"/>
        <v>1.8522280164803041E-2</v>
      </c>
    </row>
    <row r="388" spans="15:19" x14ac:dyDescent="0.25">
      <c r="O388">
        <f t="shared" si="59"/>
        <v>-2.5000000000000022</v>
      </c>
      <c r="Q388">
        <f t="shared" si="65"/>
        <v>4.3904811887419341E-2</v>
      </c>
      <c r="S388">
        <f t="shared" si="65"/>
        <v>2.266944371914479E-2</v>
      </c>
    </row>
    <row r="389" spans="15:19" x14ac:dyDescent="0.25">
      <c r="O389">
        <f t="shared" ref="O389:O452" si="66">O388+$N$364</f>
        <v>-2.4000000000000021</v>
      </c>
      <c r="Q389">
        <f t="shared" si="65"/>
        <v>4.7087261269791451E-2</v>
      </c>
      <c r="S389">
        <f t="shared" si="65"/>
        <v>2.7629121628762278E-2</v>
      </c>
    </row>
    <row r="390" spans="15:19" x14ac:dyDescent="0.25">
      <c r="O390">
        <f t="shared" si="66"/>
        <v>-2.300000000000002</v>
      </c>
      <c r="Q390">
        <f t="shared" si="65"/>
        <v>5.0605705275642315E-2</v>
      </c>
      <c r="S390">
        <f t="shared" si="65"/>
        <v>3.3522460396149756E-2</v>
      </c>
    </row>
    <row r="391" spans="15:19" x14ac:dyDescent="0.25">
      <c r="O391">
        <f t="shared" si="66"/>
        <v>-2.200000000000002</v>
      </c>
      <c r="Q391">
        <f t="shared" si="65"/>
        <v>5.4505117497224351E-2</v>
      </c>
      <c r="S391">
        <f t="shared" si="65"/>
        <v>4.0476866433134084E-2</v>
      </c>
    </row>
    <row r="392" spans="15:19" x14ac:dyDescent="0.25">
      <c r="O392">
        <f t="shared" si="66"/>
        <v>-2.1000000000000019</v>
      </c>
      <c r="Q392">
        <f t="shared" si="65"/>
        <v>5.8837317224360482E-2</v>
      </c>
      <c r="S392">
        <f t="shared" si="65"/>
        <v>4.8622458084184458E-2</v>
      </c>
    </row>
    <row r="393" spans="15:19" x14ac:dyDescent="0.25">
      <c r="O393">
        <f t="shared" si="66"/>
        <v>-2.0000000000000018</v>
      </c>
      <c r="Q393">
        <f t="shared" si="65"/>
        <v>6.3661977236758038E-2</v>
      </c>
      <c r="S393">
        <f t="shared" si="65"/>
        <v>5.8087215247356785E-2</v>
      </c>
    </row>
    <row r="394" spans="15:19" x14ac:dyDescent="0.25">
      <c r="O394">
        <f t="shared" si="66"/>
        <v>-1.9000000000000017</v>
      </c>
      <c r="Q394">
        <f t="shared" si="65"/>
        <v>6.9047697653750587E-2</v>
      </c>
      <c r="S394">
        <f t="shared" si="65"/>
        <v>6.8990728389136641E-2</v>
      </c>
    </row>
    <row r="395" spans="15:19" x14ac:dyDescent="0.25">
      <c r="O395">
        <f t="shared" si="66"/>
        <v>-1.8000000000000016</v>
      </c>
      <c r="Q395">
        <f t="shared" si="65"/>
        <v>7.5073086364101482E-2</v>
      </c>
      <c r="S395">
        <f t="shared" si="65"/>
        <v>8.1436536616818073E-2</v>
      </c>
    </row>
    <row r="396" spans="15:19" x14ac:dyDescent="0.25">
      <c r="O396">
        <f t="shared" si="66"/>
        <v>-1.7000000000000015</v>
      </c>
      <c r="Q396">
        <f t="shared" si="65"/>
        <v>8.1827734237478217E-2</v>
      </c>
      <c r="S396">
        <f t="shared" si="65"/>
        <v>9.5503166527465169E-2</v>
      </c>
    </row>
    <row r="397" spans="15:19" x14ac:dyDescent="0.25">
      <c r="O397">
        <f t="shared" si="66"/>
        <v>-1.6000000000000014</v>
      </c>
      <c r="Q397">
        <f t="shared" ref="Q397:S428" si="67">_xlfn.T.DIST($O397,Q$363,FALSE)</f>
        <v>8.9412889377469176E-2</v>
      </c>
      <c r="S397">
        <f t="shared" si="67"/>
        <v>0.1112341380223049</v>
      </c>
    </row>
    <row r="398" spans="15:19" x14ac:dyDescent="0.25">
      <c r="O398">
        <f t="shared" si="66"/>
        <v>-1.5000000000000013</v>
      </c>
      <c r="Q398">
        <f t="shared" si="67"/>
        <v>9.7941503441166242E-2</v>
      </c>
      <c r="S398">
        <f t="shared" si="67"/>
        <v>0.12862738297214579</v>
      </c>
    </row>
    <row r="399" spans="15:19" x14ac:dyDescent="0.25">
      <c r="O399">
        <f t="shared" si="66"/>
        <v>-1.4000000000000012</v>
      </c>
      <c r="Q399">
        <f t="shared" si="67"/>
        <v>0.10753712371073997</v>
      </c>
      <c r="S399">
        <f t="shared" si="67"/>
        <v>0.14762471385403783</v>
      </c>
    </row>
    <row r="400" spans="15:19" x14ac:dyDescent="0.25">
      <c r="O400">
        <f t="shared" si="66"/>
        <v>-1.3000000000000012</v>
      </c>
      <c r="Q400">
        <f t="shared" si="67"/>
        <v>0.11833081270772876</v>
      </c>
      <c r="S400">
        <f t="shared" si="67"/>
        <v>0.16810216172910783</v>
      </c>
    </row>
    <row r="401" spans="15:19" x14ac:dyDescent="0.25">
      <c r="O401">
        <f t="shared" si="66"/>
        <v>-1.2000000000000011</v>
      </c>
      <c r="Q401">
        <f t="shared" si="67"/>
        <v>0.13045487138679931</v>
      </c>
      <c r="S401">
        <f t="shared" si="67"/>
        <v>0.18986214967139031</v>
      </c>
    </row>
    <row r="402" spans="15:19" x14ac:dyDescent="0.25">
      <c r="O402">
        <f t="shared" si="66"/>
        <v>-1.100000000000001</v>
      </c>
      <c r="Q402">
        <f t="shared" si="67"/>
        <v>0.14403162270759745</v>
      </c>
      <c r="S402">
        <f t="shared" si="67"/>
        <v>0.21262854877263246</v>
      </c>
    </row>
    <row r="403" spans="15:19" x14ac:dyDescent="0.25">
      <c r="O403">
        <f t="shared" si="66"/>
        <v>-1.0000000000000009</v>
      </c>
      <c r="Q403">
        <f t="shared" si="67"/>
        <v>0.15915494309189521</v>
      </c>
      <c r="S403">
        <f t="shared" si="67"/>
        <v>0.23604564912670073</v>
      </c>
    </row>
    <row r="404" spans="15:19" x14ac:dyDescent="0.25">
      <c r="O404">
        <f t="shared" si="66"/>
        <v>-0.90000000000000091</v>
      </c>
      <c r="Q404">
        <f t="shared" si="67"/>
        <v>0.17586181557115491</v>
      </c>
      <c r="S404">
        <f t="shared" si="67"/>
        <v>0.25968194316548465</v>
      </c>
    </row>
    <row r="405" spans="15:19" x14ac:dyDescent="0.25">
      <c r="O405">
        <f t="shared" si="66"/>
        <v>-0.80000000000000093</v>
      </c>
      <c r="Q405">
        <f t="shared" si="67"/>
        <v>0.19409139401450634</v>
      </c>
      <c r="S405">
        <f t="shared" si="67"/>
        <v>0.28303935016011433</v>
      </c>
    </row>
    <row r="406" spans="15:19" x14ac:dyDescent="0.25">
      <c r="O406">
        <f t="shared" si="66"/>
        <v>-0.70000000000000095</v>
      </c>
      <c r="Q406">
        <f t="shared" si="67"/>
        <v>0.21363079609650365</v>
      </c>
      <c r="S406">
        <f t="shared" si="67"/>
        <v>0.30556811230187098</v>
      </c>
    </row>
    <row r="407" spans="15:19" x14ac:dyDescent="0.25">
      <c r="O407">
        <f t="shared" si="66"/>
        <v>-0.60000000000000098</v>
      </c>
      <c r="Q407">
        <f t="shared" si="67"/>
        <v>0.23405138689984589</v>
      </c>
      <c r="S407">
        <f t="shared" si="67"/>
        <v>0.32668708895620452</v>
      </c>
    </row>
    <row r="408" spans="15:19" x14ac:dyDescent="0.25">
      <c r="O408">
        <f t="shared" si="66"/>
        <v>-0.500000000000001</v>
      </c>
      <c r="Q408">
        <f t="shared" si="67"/>
        <v>0.25464790894703238</v>
      </c>
      <c r="S408">
        <f t="shared" si="67"/>
        <v>0.34580861238374155</v>
      </c>
    </row>
    <row r="409" spans="15:19" x14ac:dyDescent="0.25">
      <c r="O409">
        <f t="shared" si="66"/>
        <v>-0.40000000000000102</v>
      </c>
      <c r="Q409">
        <f t="shared" si="67"/>
        <v>0.27440507429637107</v>
      </c>
      <c r="S409">
        <f t="shared" si="67"/>
        <v>0.36236650966936129</v>
      </c>
    </row>
    <row r="410" spans="15:19" x14ac:dyDescent="0.25">
      <c r="O410">
        <f t="shared" si="66"/>
        <v>-0.30000000000000104</v>
      </c>
      <c r="Q410">
        <f t="shared" si="67"/>
        <v>0.29202741851723901</v>
      </c>
      <c r="S410">
        <f t="shared" si="67"/>
        <v>0.37584541676808364</v>
      </c>
    </row>
    <row r="411" spans="15:19" x14ac:dyDescent="0.25">
      <c r="O411">
        <f t="shared" si="66"/>
        <v>-0.20000000000000104</v>
      </c>
      <c r="Q411">
        <f t="shared" si="67"/>
        <v>0.30606719825364476</v>
      </c>
      <c r="S411">
        <f t="shared" si="67"/>
        <v>0.38580918607411924</v>
      </c>
    </row>
    <row r="412" spans="15:19" x14ac:dyDescent="0.25">
      <c r="O412">
        <f t="shared" si="66"/>
        <v>-0.10000000000000103</v>
      </c>
      <c r="Q412">
        <f t="shared" si="67"/>
        <v>0.31515830315226795</v>
      </c>
      <c r="S412">
        <f t="shared" si="67"/>
        <v>0.39192608003344526</v>
      </c>
    </row>
    <row r="413" spans="15:19" x14ac:dyDescent="0.25">
      <c r="O413">
        <f t="shared" si="66"/>
        <v>-1.0269562977782698E-15</v>
      </c>
      <c r="Q413">
        <f t="shared" si="67"/>
        <v>0.31830988618379069</v>
      </c>
      <c r="S413">
        <f t="shared" si="67"/>
        <v>0.39398858571143264</v>
      </c>
    </row>
    <row r="414" spans="15:19" x14ac:dyDescent="0.25">
      <c r="O414">
        <f t="shared" si="66"/>
        <v>9.9999999999998979E-2</v>
      </c>
      <c r="Q414">
        <f t="shared" si="67"/>
        <v>0.31515830315226806</v>
      </c>
      <c r="S414">
        <f t="shared" si="67"/>
        <v>0.39192608003344537</v>
      </c>
    </row>
    <row r="415" spans="15:19" x14ac:dyDescent="0.25">
      <c r="O415">
        <f t="shared" si="66"/>
        <v>0.19999999999999898</v>
      </c>
      <c r="Q415">
        <f t="shared" si="67"/>
        <v>0.30606719825364498</v>
      </c>
      <c r="S415">
        <f t="shared" si="67"/>
        <v>0.38580918607411935</v>
      </c>
    </row>
    <row r="416" spans="15:19" x14ac:dyDescent="0.25">
      <c r="O416">
        <f t="shared" si="66"/>
        <v>0.29999999999999899</v>
      </c>
      <c r="Q416">
        <f t="shared" si="67"/>
        <v>0.29202741851723935</v>
      </c>
      <c r="S416">
        <f t="shared" si="67"/>
        <v>0.37584541676808386</v>
      </c>
    </row>
    <row r="417" spans="15:19" x14ac:dyDescent="0.25">
      <c r="O417">
        <f t="shared" si="66"/>
        <v>0.39999999999999902</v>
      </c>
      <c r="Q417">
        <f t="shared" si="67"/>
        <v>0.27440507429637145</v>
      </c>
      <c r="S417">
        <f t="shared" si="67"/>
        <v>0.36236650966936162</v>
      </c>
    </row>
    <row r="418" spans="15:19" x14ac:dyDescent="0.25">
      <c r="O418">
        <f t="shared" si="66"/>
        <v>0.499999999999999</v>
      </c>
      <c r="Q418">
        <f t="shared" si="67"/>
        <v>0.25464790894703271</v>
      </c>
      <c r="S418">
        <f t="shared" si="67"/>
        <v>0.34580861238374194</v>
      </c>
    </row>
    <row r="419" spans="15:19" x14ac:dyDescent="0.25">
      <c r="O419">
        <f t="shared" si="66"/>
        <v>0.59999999999999898</v>
      </c>
      <c r="Q419">
        <f t="shared" si="67"/>
        <v>0.23405138689984631</v>
      </c>
      <c r="S419">
        <f t="shared" si="67"/>
        <v>0.32668708895620496</v>
      </c>
    </row>
    <row r="420" spans="15:19" x14ac:dyDescent="0.25">
      <c r="O420">
        <f t="shared" si="66"/>
        <v>0.69999999999999896</v>
      </c>
      <c r="Q420">
        <f t="shared" si="67"/>
        <v>0.21363079609650404</v>
      </c>
      <c r="S420">
        <f t="shared" si="67"/>
        <v>0.30556811230187136</v>
      </c>
    </row>
    <row r="421" spans="15:19" x14ac:dyDescent="0.25">
      <c r="O421">
        <f t="shared" si="66"/>
        <v>0.79999999999999893</v>
      </c>
      <c r="Q421">
        <f t="shared" si="67"/>
        <v>0.1940913940145067</v>
      </c>
      <c r="S421">
        <f t="shared" si="67"/>
        <v>0.28303935016011478</v>
      </c>
    </row>
    <row r="422" spans="15:19" x14ac:dyDescent="0.25">
      <c r="O422">
        <f t="shared" si="66"/>
        <v>0.89999999999999891</v>
      </c>
      <c r="Q422">
        <f t="shared" si="67"/>
        <v>0.17586181557115527</v>
      </c>
      <c r="S422">
        <f t="shared" si="67"/>
        <v>0.25968194316548504</v>
      </c>
    </row>
    <row r="423" spans="15:19" x14ac:dyDescent="0.25">
      <c r="O423">
        <f t="shared" si="66"/>
        <v>0.99999999999999889</v>
      </c>
      <c r="Q423">
        <f t="shared" si="67"/>
        <v>0.15915494309189551</v>
      </c>
      <c r="S423">
        <f t="shared" si="67"/>
        <v>0.23604564912670128</v>
      </c>
    </row>
    <row r="424" spans="15:19" x14ac:dyDescent="0.25">
      <c r="O424">
        <f t="shared" si="66"/>
        <v>1.099999999999999</v>
      </c>
      <c r="Q424">
        <f t="shared" si="67"/>
        <v>0.14403162270759776</v>
      </c>
      <c r="S424">
        <f t="shared" si="67"/>
        <v>0.21262854877263299</v>
      </c>
    </row>
    <row r="425" spans="15:19" x14ac:dyDescent="0.25">
      <c r="O425">
        <f t="shared" si="66"/>
        <v>1.1999999999999991</v>
      </c>
      <c r="Q425">
        <f t="shared" si="67"/>
        <v>0.13045487138679959</v>
      </c>
      <c r="S425">
        <f t="shared" si="67"/>
        <v>0.18986214967139073</v>
      </c>
    </row>
    <row r="426" spans="15:19" x14ac:dyDescent="0.25">
      <c r="O426">
        <f t="shared" si="66"/>
        <v>1.2999999999999992</v>
      </c>
      <c r="Q426">
        <f t="shared" si="67"/>
        <v>0.11833081270772898</v>
      </c>
      <c r="S426">
        <f t="shared" si="67"/>
        <v>0.16810216172910825</v>
      </c>
    </row>
    <row r="427" spans="15:19" x14ac:dyDescent="0.25">
      <c r="O427">
        <f t="shared" si="66"/>
        <v>1.3999999999999992</v>
      </c>
      <c r="Q427">
        <f t="shared" si="67"/>
        <v>0.10753712371074017</v>
      </c>
      <c r="S427">
        <f t="shared" si="67"/>
        <v>0.14762471385403822</v>
      </c>
    </row>
    <row r="428" spans="15:19" x14ac:dyDescent="0.25">
      <c r="O428">
        <f t="shared" si="66"/>
        <v>1.4999999999999993</v>
      </c>
      <c r="Q428">
        <f t="shared" si="67"/>
        <v>9.7941503441166422E-2</v>
      </c>
      <c r="S428">
        <f t="shared" si="67"/>
        <v>0.12862738297214618</v>
      </c>
    </row>
    <row r="429" spans="15:19" x14ac:dyDescent="0.25">
      <c r="O429">
        <f t="shared" si="66"/>
        <v>1.5999999999999994</v>
      </c>
      <c r="Q429">
        <f t="shared" ref="Q429:S463" si="68">_xlfn.T.DIST($O429,Q$363,FALSE)</f>
        <v>8.9412889377469329E-2</v>
      </c>
      <c r="S429">
        <f t="shared" si="68"/>
        <v>0.11123413802230521</v>
      </c>
    </row>
    <row r="430" spans="15:19" x14ac:dyDescent="0.25">
      <c r="O430">
        <f t="shared" si="66"/>
        <v>1.6999999999999995</v>
      </c>
      <c r="Q430">
        <f t="shared" si="68"/>
        <v>8.1827734237478356E-2</v>
      </c>
      <c r="S430">
        <f t="shared" si="68"/>
        <v>9.5503166527465447E-2</v>
      </c>
    </row>
    <row r="431" spans="15:19" x14ac:dyDescent="0.25">
      <c r="O431">
        <f t="shared" si="66"/>
        <v>1.7999999999999996</v>
      </c>
      <c r="Q431">
        <f t="shared" si="68"/>
        <v>7.5073086364101607E-2</v>
      </c>
      <c r="S431">
        <f t="shared" si="68"/>
        <v>8.143653661681835E-2</v>
      </c>
    </row>
    <row r="432" spans="15:19" x14ac:dyDescent="0.25">
      <c r="O432">
        <f t="shared" si="66"/>
        <v>1.8999999999999997</v>
      </c>
      <c r="Q432">
        <f t="shared" si="68"/>
        <v>6.9047697653750698E-2</v>
      </c>
      <c r="S432">
        <f t="shared" si="68"/>
        <v>6.8990728389136877E-2</v>
      </c>
    </row>
    <row r="433" spans="15:19" x14ac:dyDescent="0.25">
      <c r="O433">
        <f t="shared" si="66"/>
        <v>1.9999999999999998</v>
      </c>
      <c r="Q433">
        <f t="shared" si="68"/>
        <v>6.3661977236758149E-2</v>
      </c>
      <c r="S433">
        <f t="shared" si="68"/>
        <v>5.8087215247357001E-2</v>
      </c>
    </row>
    <row r="434" spans="15:19" x14ac:dyDescent="0.25">
      <c r="O434">
        <f t="shared" si="66"/>
        <v>2.0999999999999996</v>
      </c>
      <c r="Q434">
        <f t="shared" si="68"/>
        <v>5.8837317224360586E-2</v>
      </c>
      <c r="S434">
        <f t="shared" si="68"/>
        <v>4.862245808418466E-2</v>
      </c>
    </row>
    <row r="435" spans="15:19" x14ac:dyDescent="0.25">
      <c r="O435">
        <f t="shared" si="66"/>
        <v>2.1999999999999997</v>
      </c>
      <c r="Q435">
        <f t="shared" si="68"/>
        <v>5.4505117497224448E-2</v>
      </c>
      <c r="S435">
        <f t="shared" si="68"/>
        <v>4.0476866433134251E-2</v>
      </c>
    </row>
    <row r="436" spans="15:19" x14ac:dyDescent="0.25">
      <c r="O436">
        <f t="shared" si="66"/>
        <v>2.2999999999999998</v>
      </c>
      <c r="Q436">
        <f t="shared" si="68"/>
        <v>5.0605705275642406E-2</v>
      </c>
      <c r="S436">
        <f t="shared" si="68"/>
        <v>3.3522460396149908E-2</v>
      </c>
    </row>
    <row r="437" spans="15:19" x14ac:dyDescent="0.25">
      <c r="O437">
        <f t="shared" si="66"/>
        <v>2.4</v>
      </c>
      <c r="Q437">
        <f t="shared" si="68"/>
        <v>4.7087261269791521E-2</v>
      </c>
      <c r="S437">
        <f t="shared" si="68"/>
        <v>2.7629121628762382E-2</v>
      </c>
    </row>
    <row r="438" spans="15:19" x14ac:dyDescent="0.25">
      <c r="O438">
        <f t="shared" si="66"/>
        <v>2.5</v>
      </c>
      <c r="Q438">
        <f t="shared" si="68"/>
        <v>4.3904811887419404E-2</v>
      </c>
      <c r="S438">
        <f t="shared" si="68"/>
        <v>2.2669443719144873E-2</v>
      </c>
    </row>
    <row r="439" spans="15:19" x14ac:dyDescent="0.25">
      <c r="O439">
        <f t="shared" si="66"/>
        <v>2.6</v>
      </c>
      <c r="Q439">
        <f t="shared" si="68"/>
        <v>4.1019315229869929E-2</v>
      </c>
      <c r="S439">
        <f t="shared" si="68"/>
        <v>1.8522280164803128E-2</v>
      </c>
    </row>
    <row r="440" spans="15:19" x14ac:dyDescent="0.25">
      <c r="O440">
        <f t="shared" si="66"/>
        <v>2.7</v>
      </c>
      <c r="Q440">
        <f t="shared" si="68"/>
        <v>3.8396849961856529E-2</v>
      </c>
      <c r="S440">
        <f t="shared" si="68"/>
        <v>1.5075144023375718E-2</v>
      </c>
    </row>
    <row r="441" spans="15:19" x14ac:dyDescent="0.25">
      <c r="O441">
        <f t="shared" si="66"/>
        <v>2.8000000000000003</v>
      </c>
      <c r="Q441">
        <f t="shared" si="68"/>
        <v>3.600790567689939E-2</v>
      </c>
      <c r="S441">
        <f t="shared" si="68"/>
        <v>1.2225641868022547E-2</v>
      </c>
    </row>
    <row r="442" spans="15:19" x14ac:dyDescent="0.25">
      <c r="O442">
        <f t="shared" si="66"/>
        <v>2.9000000000000004</v>
      </c>
      <c r="Q442">
        <f t="shared" si="68"/>
        <v>3.3826767926013884E-2</v>
      </c>
      <c r="S442">
        <f t="shared" si="68"/>
        <v>9.8821317664987158E-3</v>
      </c>
    </row>
    <row r="443" spans="15:19" x14ac:dyDescent="0.25">
      <c r="O443">
        <f t="shared" si="66"/>
        <v>3.0000000000000004</v>
      </c>
      <c r="Q443">
        <f t="shared" si="68"/>
        <v>3.1830988618379061E-2</v>
      </c>
      <c r="S443">
        <f t="shared" si="68"/>
        <v>7.9637866461806511E-3</v>
      </c>
    </row>
    <row r="444" spans="15:19" x14ac:dyDescent="0.25">
      <c r="O444">
        <f t="shared" si="66"/>
        <v>3.1000000000000005</v>
      </c>
      <c r="Q444">
        <f t="shared" si="68"/>
        <v>3.000093177981061E-2</v>
      </c>
      <c r="S444">
        <f t="shared" si="68"/>
        <v>6.400226105512441E-3</v>
      </c>
    </row>
    <row r="445" spans="15:19" x14ac:dyDescent="0.25">
      <c r="O445">
        <f t="shared" si="66"/>
        <v>3.2000000000000006</v>
      </c>
      <c r="Q445">
        <f t="shared" si="68"/>
        <v>2.8319384891796313E-2</v>
      </c>
      <c r="S445">
        <f t="shared" si="68"/>
        <v>5.1308560784476031E-3</v>
      </c>
    </row>
    <row r="446" spans="15:19" x14ac:dyDescent="0.25">
      <c r="O446">
        <f t="shared" si="66"/>
        <v>3.3000000000000007</v>
      </c>
      <c r="Q446">
        <f t="shared" si="68"/>
        <v>2.6771226760621582E-2</v>
      </c>
      <c r="S446">
        <f t="shared" si="68"/>
        <v>4.1040302887850807E-3</v>
      </c>
    </row>
    <row r="447" spans="15:19" x14ac:dyDescent="0.25">
      <c r="O447">
        <f t="shared" si="66"/>
        <v>3.4000000000000008</v>
      </c>
      <c r="Q447">
        <f t="shared" si="68"/>
        <v>2.5343143804441921E-2</v>
      </c>
      <c r="S447">
        <f t="shared" si="68"/>
        <v>3.2761226464425378E-3</v>
      </c>
    </row>
    <row r="448" spans="15:19" x14ac:dyDescent="0.25">
      <c r="O448">
        <f t="shared" si="66"/>
        <v>3.5000000000000009</v>
      </c>
      <c r="Q448">
        <f t="shared" si="68"/>
        <v>2.4023387636512492E-2</v>
      </c>
      <c r="S448">
        <f t="shared" si="68"/>
        <v>2.610577227596343E-3</v>
      </c>
    </row>
    <row r="449" spans="15:19" x14ac:dyDescent="0.25">
      <c r="O449">
        <f t="shared" si="66"/>
        <v>3.600000000000001</v>
      </c>
      <c r="Q449">
        <f t="shared" si="68"/>
        <v>2.2801567778208489E-2</v>
      </c>
      <c r="S449">
        <f t="shared" si="68"/>
        <v>2.0769830997115031E-3</v>
      </c>
    </row>
    <row r="450" spans="15:19" x14ac:dyDescent="0.25">
      <c r="O450">
        <f t="shared" si="66"/>
        <v>3.7000000000000011</v>
      </c>
      <c r="Q450">
        <f t="shared" si="68"/>
        <v>2.1668474212647414E-2</v>
      </c>
      <c r="S450">
        <f t="shared" si="68"/>
        <v>1.6502053059587816E-3</v>
      </c>
    </row>
    <row r="451" spans="15:19" x14ac:dyDescent="0.25">
      <c r="O451">
        <f t="shared" si="66"/>
        <v>3.8000000000000012</v>
      </c>
      <c r="Q451">
        <f t="shared" si="68"/>
        <v>2.0615925270970888E-2</v>
      </c>
      <c r="S451">
        <f t="shared" si="68"/>
        <v>1.3095907391567744E-3</v>
      </c>
    </row>
    <row r="452" spans="15:19" x14ac:dyDescent="0.25">
      <c r="O452">
        <f t="shared" si="66"/>
        <v>3.9000000000000012</v>
      </c>
      <c r="Q452">
        <f t="shared" si="68"/>
        <v>1.9636637025526867E-2</v>
      </c>
      <c r="S452">
        <f t="shared" si="68"/>
        <v>1.0382581078689996E-3</v>
      </c>
    </row>
    <row r="453" spans="15:19" x14ac:dyDescent="0.25">
      <c r="O453">
        <f t="shared" ref="O453:O463" si="69">O452+$N$364</f>
        <v>4.0000000000000009</v>
      </c>
      <c r="Q453">
        <f t="shared" si="68"/>
        <v>1.8724110951987678E-2</v>
      </c>
      <c r="S453">
        <f t="shared" si="68"/>
        <v>8.2247430013313797E-4</v>
      </c>
    </row>
    <row r="454" spans="15:19" x14ac:dyDescent="0.25">
      <c r="O454">
        <f t="shared" si="69"/>
        <v>4.1000000000000005</v>
      </c>
      <c r="Q454">
        <f t="shared" si="68"/>
        <v>1.7872537124300425E-2</v>
      </c>
      <c r="S454">
        <f t="shared" si="68"/>
        <v>6.511147163637957E-4</v>
      </c>
    </row>
    <row r="455" spans="15:19" x14ac:dyDescent="0.25">
      <c r="O455">
        <f t="shared" si="69"/>
        <v>4.2</v>
      </c>
      <c r="Q455">
        <f t="shared" si="68"/>
        <v>1.7076710632177611E-2</v>
      </c>
      <c r="S455">
        <f t="shared" si="68"/>
        <v>5.1520211777581534E-4</v>
      </c>
    </row>
    <row r="456" spans="15:19" x14ac:dyDescent="0.25">
      <c r="O456">
        <f t="shared" si="69"/>
        <v>4.3</v>
      </c>
      <c r="Q456">
        <f t="shared" si="68"/>
        <v>1.6331959270589568E-2</v>
      </c>
      <c r="S456">
        <f t="shared" si="68"/>
        <v>4.0751680997292583E-4</v>
      </c>
    </row>
    <row r="457" spans="15:19" x14ac:dyDescent="0.25">
      <c r="O457">
        <f t="shared" si="69"/>
        <v>4.3999999999999995</v>
      </c>
      <c r="Q457">
        <f t="shared" si="68"/>
        <v>1.5634080853820762E-2</v>
      </c>
      <c r="S457">
        <f t="shared" si="68"/>
        <v>3.2227020253405825E-4</v>
      </c>
    </row>
    <row r="458" spans="15:19" x14ac:dyDescent="0.25">
      <c r="O458">
        <f t="shared" si="69"/>
        <v>4.4999999999999991</v>
      </c>
      <c r="Q458">
        <f t="shared" si="68"/>
        <v>1.4979288761590156E-2</v>
      </c>
      <c r="S458">
        <f t="shared" si="68"/>
        <v>2.5483366783358682E-4</v>
      </c>
    </row>
    <row r="459" spans="15:19" x14ac:dyDescent="0.25">
      <c r="O459">
        <f t="shared" si="69"/>
        <v>4.5999999999999988</v>
      </c>
      <c r="Q459">
        <f t="shared" si="68"/>
        <v>1.4364164538979731E-2</v>
      </c>
      <c r="S459">
        <f t="shared" si="68"/>
        <v>2.01514940443647E-4</v>
      </c>
    </row>
    <row r="460" spans="15:19" x14ac:dyDescent="0.25">
      <c r="O460">
        <f t="shared" si="69"/>
        <v>4.6999999999999984</v>
      </c>
      <c r="Q460">
        <f t="shared" si="68"/>
        <v>1.3785616551918185E-2</v>
      </c>
      <c r="S460">
        <f t="shared" si="68"/>
        <v>1.5937488122950045E-4</v>
      </c>
    </row>
    <row r="461" spans="15:19" x14ac:dyDescent="0.25">
      <c r="O461">
        <f t="shared" si="69"/>
        <v>4.799999999999998</v>
      </c>
      <c r="Q461">
        <f t="shared" si="68"/>
        <v>1.3240843851239224E-2</v>
      </c>
      <c r="S461">
        <f t="shared" si="68"/>
        <v>1.26078152604921E-4</v>
      </c>
    </row>
    <row r="462" spans="15:19" x14ac:dyDescent="0.25">
      <c r="O462">
        <f t="shared" si="69"/>
        <v>4.8999999999999977</v>
      </c>
      <c r="Q462">
        <f t="shared" si="68"/>
        <v>1.2727304525541423E-2</v>
      </c>
      <c r="S462">
        <f t="shared" si="68"/>
        <v>9.9772125556131375E-5</v>
      </c>
    </row>
    <row r="463" spans="15:19" x14ac:dyDescent="0.25">
      <c r="O463">
        <f t="shared" si="69"/>
        <v>4.9999999999999973</v>
      </c>
      <c r="Q463">
        <f t="shared" si="68"/>
        <v>1.224268793014581E-2</v>
      </c>
      <c r="S463">
        <f t="shared" si="68"/>
        <v>7.8989106244035825E-5</v>
      </c>
    </row>
    <row r="465" spans="1:38" x14ac:dyDescent="0.25">
      <c r="A465" t="s">
        <v>34</v>
      </c>
      <c r="B465" t="s">
        <v>33</v>
      </c>
    </row>
    <row r="466" spans="1:38" x14ac:dyDescent="0.25">
      <c r="B466">
        <v>1</v>
      </c>
      <c r="C466">
        <f>B466+1</f>
        <v>2</v>
      </c>
      <c r="D466">
        <f t="shared" ref="D466:P466" si="70">C466+1</f>
        <v>3</v>
      </c>
      <c r="E466">
        <f t="shared" si="70"/>
        <v>4</v>
      </c>
      <c r="F466">
        <f t="shared" si="70"/>
        <v>5</v>
      </c>
      <c r="G466">
        <f t="shared" si="70"/>
        <v>6</v>
      </c>
      <c r="H466">
        <f t="shared" si="70"/>
        <v>7</v>
      </c>
      <c r="I466">
        <f t="shared" si="70"/>
        <v>8</v>
      </c>
      <c r="J466">
        <f t="shared" si="70"/>
        <v>9</v>
      </c>
      <c r="K466">
        <f t="shared" si="70"/>
        <v>10</v>
      </c>
      <c r="L466">
        <f t="shared" si="70"/>
        <v>11</v>
      </c>
      <c r="M466">
        <f t="shared" si="70"/>
        <v>12</v>
      </c>
      <c r="N466">
        <f t="shared" si="70"/>
        <v>13</v>
      </c>
      <c r="O466">
        <f t="shared" si="70"/>
        <v>14</v>
      </c>
      <c r="P466">
        <f t="shared" si="70"/>
        <v>15</v>
      </c>
    </row>
    <row r="467" spans="1:38" x14ac:dyDescent="0.25">
      <c r="A467">
        <v>1</v>
      </c>
    </row>
    <row r="468" spans="1:38" x14ac:dyDescent="0.25">
      <c r="A468">
        <f>1+A467</f>
        <v>2</v>
      </c>
    </row>
    <row r="469" spans="1:38" x14ac:dyDescent="0.25">
      <c r="A469">
        <f t="shared" ref="A469:A483" si="71">1+A468</f>
        <v>3</v>
      </c>
      <c r="D469">
        <v>0.1</v>
      </c>
      <c r="E469" t="s">
        <v>4</v>
      </c>
    </row>
    <row r="470" spans="1:38" x14ac:dyDescent="0.25">
      <c r="A470">
        <f t="shared" si="71"/>
        <v>4</v>
      </c>
      <c r="E470">
        <v>0.1</v>
      </c>
      <c r="F470">
        <f>_xlfn.F.DIST(E470,1,1,FALSE)</f>
        <v>0.91507658371794665</v>
      </c>
      <c r="G470">
        <f>_xlfn.F.DIST(E470,5,5,FALSE)</f>
        <v>0.2666707709307134</v>
      </c>
      <c r="H470">
        <f>_xlfn.F.DIST(E470,20,20,FALSE)</f>
        <v>1.3731401069614387E-4</v>
      </c>
    </row>
    <row r="471" spans="1:38" ht="19.5" x14ac:dyDescent="0.35">
      <c r="A471">
        <f t="shared" si="71"/>
        <v>5</v>
      </c>
      <c r="E471">
        <f>E470+$D$469</f>
        <v>0.2</v>
      </c>
      <c r="F471">
        <f t="shared" ref="F471:F529" si="72">_xlfn.F.DIST(E471,1,1,FALSE)</f>
        <v>0.5931354528476479</v>
      </c>
      <c r="G471">
        <f t="shared" ref="G471:G529" si="73">_xlfn.F.DIST(E471,5,5,FALSE)</f>
        <v>0.48817732744662373</v>
      </c>
      <c r="H471">
        <f t="shared" ref="H471:H508" si="74">_xlfn.F.DIST(E471,20,20,FALSE)</f>
        <v>1.2337114501997093E-2</v>
      </c>
      <c r="AC471" s="481" t="s">
        <v>130</v>
      </c>
      <c r="AD471" s="481"/>
      <c r="AE471" s="481"/>
      <c r="AF471" s="481"/>
      <c r="AG471" s="481"/>
      <c r="AH471" s="481"/>
      <c r="AI471" s="481"/>
      <c r="AJ471" s="481"/>
      <c r="AK471" s="481"/>
      <c r="AL471" s="481"/>
    </row>
    <row r="472" spans="1:38" ht="17.25" x14ac:dyDescent="0.35">
      <c r="A472">
        <f t="shared" si="71"/>
        <v>6</v>
      </c>
      <c r="E472">
        <f t="shared" ref="E472:E485" si="75">E471+$D$469</f>
        <v>0.30000000000000004</v>
      </c>
      <c r="F472">
        <f t="shared" si="72"/>
        <v>0.44703975625580572</v>
      </c>
      <c r="G472">
        <f t="shared" si="73"/>
        <v>0.60104081230429385</v>
      </c>
      <c r="H472">
        <f t="shared" si="74"/>
        <v>9.5673751107236915E-2</v>
      </c>
      <c r="AB472" s="148" t="s">
        <v>131</v>
      </c>
      <c r="AC472" s="149">
        <v>1</v>
      </c>
      <c r="AD472" s="149">
        <f>AC472+1</f>
        <v>2</v>
      </c>
      <c r="AE472" s="149">
        <f t="shared" ref="AE472:AL472" si="76">AD472+1</f>
        <v>3</v>
      </c>
      <c r="AF472" s="149">
        <f t="shared" si="76"/>
        <v>4</v>
      </c>
      <c r="AG472" s="149">
        <f t="shared" si="76"/>
        <v>5</v>
      </c>
      <c r="AH472" s="149">
        <f t="shared" si="76"/>
        <v>6</v>
      </c>
      <c r="AI472" s="149">
        <f>AH472+1</f>
        <v>7</v>
      </c>
      <c r="AJ472" s="149">
        <f t="shared" si="76"/>
        <v>8</v>
      </c>
      <c r="AK472" s="149">
        <f>AJ472+1</f>
        <v>9</v>
      </c>
      <c r="AL472" s="150">
        <f t="shared" si="76"/>
        <v>10</v>
      </c>
    </row>
    <row r="473" spans="1:38" ht="16.5" x14ac:dyDescent="0.35">
      <c r="A473">
        <f t="shared" si="71"/>
        <v>7</v>
      </c>
      <c r="E473">
        <f t="shared" si="75"/>
        <v>0.4</v>
      </c>
      <c r="F473">
        <f t="shared" si="72"/>
        <v>0.35949437217490765</v>
      </c>
      <c r="G473">
        <f t="shared" si="73"/>
        <v>0.63883492487002902</v>
      </c>
      <c r="H473">
        <f t="shared" si="74"/>
        <v>0.28943281187002962</v>
      </c>
      <c r="I473">
        <f t="shared" ref="I473:I489" si="77">_xlfn.F.DIST(E473,100,100,FALSE)</f>
        <v>1.949530013692803E-4</v>
      </c>
      <c r="AA473" s="480" t="s">
        <v>129</v>
      </c>
      <c r="AB473" s="156">
        <v>20</v>
      </c>
      <c r="AC473" s="151">
        <f t="shared" ref="AC473:AL483" si="78">_xlfn.F.INV(0.95,AC$472,$AB473)</f>
        <v>4.3512435033292869</v>
      </c>
      <c r="AD473" s="151">
        <f t="shared" si="78"/>
        <v>3.4928284767356312</v>
      </c>
      <c r="AE473" s="151">
        <f t="shared" si="78"/>
        <v>3.0983912121407773</v>
      </c>
      <c r="AF473" s="151">
        <f t="shared" si="78"/>
        <v>2.8660814020156589</v>
      </c>
      <c r="AG473" s="151">
        <f t="shared" si="78"/>
        <v>2.7108898372096899</v>
      </c>
      <c r="AH473" s="151">
        <f t="shared" si="78"/>
        <v>2.598977711564201</v>
      </c>
      <c r="AI473" s="151">
        <f t="shared" si="78"/>
        <v>2.5140110629988341</v>
      </c>
      <c r="AJ473" s="151">
        <f t="shared" si="78"/>
        <v>2.4470637479798225</v>
      </c>
      <c r="AK473" s="151">
        <f t="shared" si="78"/>
        <v>2.3928141084422796</v>
      </c>
      <c r="AL473" s="152">
        <f t="shared" si="78"/>
        <v>2.347877566998311</v>
      </c>
    </row>
    <row r="474" spans="1:38" ht="14.25" customHeight="1" x14ac:dyDescent="0.35">
      <c r="A474">
        <f t="shared" si="71"/>
        <v>8</v>
      </c>
      <c r="E474">
        <f t="shared" si="75"/>
        <v>0.5</v>
      </c>
      <c r="F474">
        <f t="shared" si="72"/>
        <v>0.3001054387190355</v>
      </c>
      <c r="G474">
        <f t="shared" si="73"/>
        <v>0.63232092437920218</v>
      </c>
      <c r="H474">
        <f t="shared" si="74"/>
        <v>0.54259203392598809</v>
      </c>
      <c r="I474">
        <f t="shared" si="77"/>
        <v>1.1020422006739439E-2</v>
      </c>
      <c r="AA474" s="480"/>
      <c r="AB474" s="156">
        <f t="shared" ref="AB474:AB483" si="79">AB473+1</f>
        <v>21</v>
      </c>
      <c r="AC474" s="151">
        <f t="shared" si="78"/>
        <v>4.3247937431830419</v>
      </c>
      <c r="AD474" s="151">
        <f t="shared" si="78"/>
        <v>3.4668001115424172</v>
      </c>
      <c r="AE474" s="151">
        <f t="shared" si="78"/>
        <v>3.0724669863968757</v>
      </c>
      <c r="AF474" s="151">
        <f t="shared" si="78"/>
        <v>2.8400998074753825</v>
      </c>
      <c r="AG474" s="151">
        <f t="shared" si="78"/>
        <v>2.6847807301748463</v>
      </c>
      <c r="AH474" s="151">
        <f t="shared" si="78"/>
        <v>2.5727116405095241</v>
      </c>
      <c r="AI474" s="151">
        <f t="shared" si="78"/>
        <v>2.4875777037220401</v>
      </c>
      <c r="AJ474" s="151">
        <f t="shared" si="78"/>
        <v>2.4204621973544556</v>
      </c>
      <c r="AK474" s="151">
        <f t="shared" si="78"/>
        <v>2.3660481920354539</v>
      </c>
      <c r="AL474" s="152">
        <f t="shared" si="78"/>
        <v>2.3209534393074382</v>
      </c>
    </row>
    <row r="475" spans="1:38" ht="16.5" x14ac:dyDescent="0.35">
      <c r="A475">
        <f t="shared" si="71"/>
        <v>9</v>
      </c>
      <c r="E475">
        <f t="shared" si="75"/>
        <v>0.6</v>
      </c>
      <c r="F475">
        <f t="shared" si="72"/>
        <v>0.25683518502562502</v>
      </c>
      <c r="G475">
        <f t="shared" si="73"/>
        <v>0.60195746490380841</v>
      </c>
      <c r="H475">
        <f t="shared" si="74"/>
        <v>0.7700699132927451</v>
      </c>
      <c r="I475">
        <f t="shared" si="77"/>
        <v>0.13158516265610445</v>
      </c>
      <c r="AA475" s="480"/>
      <c r="AB475" s="156">
        <f t="shared" si="79"/>
        <v>22</v>
      </c>
      <c r="AC475" s="151">
        <f t="shared" si="78"/>
        <v>4.300949501777656</v>
      </c>
      <c r="AD475" s="151">
        <f t="shared" si="78"/>
        <v>3.4433567793667228</v>
      </c>
      <c r="AE475" s="151">
        <f t="shared" si="78"/>
        <v>3.0491249886524106</v>
      </c>
      <c r="AF475" s="151">
        <f t="shared" si="78"/>
        <v>2.8167083396402544</v>
      </c>
      <c r="AG475" s="151">
        <f t="shared" si="78"/>
        <v>2.6612739171180357</v>
      </c>
      <c r="AH475" s="151">
        <f t="shared" si="78"/>
        <v>2.5490614138436585</v>
      </c>
      <c r="AI475" s="151">
        <f t="shared" si="78"/>
        <v>2.4637738299608087</v>
      </c>
      <c r="AJ475" s="151">
        <f t="shared" si="78"/>
        <v>2.3965032837639266</v>
      </c>
      <c r="AK475" s="151">
        <f t="shared" si="78"/>
        <v>2.341937327665792</v>
      </c>
      <c r="AL475" s="152">
        <f t="shared" si="78"/>
        <v>2.2966959569377252</v>
      </c>
    </row>
    <row r="476" spans="1:38" ht="16.5" x14ac:dyDescent="0.35">
      <c r="A476">
        <f t="shared" si="71"/>
        <v>10</v>
      </c>
      <c r="E476">
        <f t="shared" si="75"/>
        <v>0.7</v>
      </c>
      <c r="F476">
        <f t="shared" si="72"/>
        <v>0.22379593094167147</v>
      </c>
      <c r="G476">
        <f t="shared" si="73"/>
        <v>0.56019766640172852</v>
      </c>
      <c r="H476">
        <f t="shared" si="74"/>
        <v>0.91721782902142945</v>
      </c>
      <c r="I476">
        <f t="shared" si="77"/>
        <v>0.58439399051496388</v>
      </c>
      <c r="AA476" s="480"/>
      <c r="AB476" s="156">
        <f t="shared" si="79"/>
        <v>23</v>
      </c>
      <c r="AC476" s="151">
        <f t="shared" si="78"/>
        <v>4.2793443091446459</v>
      </c>
      <c r="AD476" s="151">
        <f t="shared" si="78"/>
        <v>3.4221322078611767</v>
      </c>
      <c r="AE476" s="151">
        <f t="shared" si="78"/>
        <v>3.0279983823321985</v>
      </c>
      <c r="AF476" s="151">
        <f t="shared" si="78"/>
        <v>2.7955387373613871</v>
      </c>
      <c r="AG476" s="151">
        <f t="shared" si="78"/>
        <v>2.6399994260529942</v>
      </c>
      <c r="AH476" s="151">
        <f t="shared" si="78"/>
        <v>2.5276553252421778</v>
      </c>
      <c r="AI476" s="151">
        <f t="shared" si="78"/>
        <v>2.4422260856848581</v>
      </c>
      <c r="AJ476" s="151">
        <f t="shared" si="78"/>
        <v>2.3748121258206281</v>
      </c>
      <c r="AK476" s="151">
        <f t="shared" si="78"/>
        <v>2.3201052423166288</v>
      </c>
      <c r="AL476" s="152">
        <f t="shared" si="78"/>
        <v>2.2747275850332507</v>
      </c>
    </row>
    <row r="477" spans="1:38" ht="16.5" x14ac:dyDescent="0.35">
      <c r="A477">
        <f t="shared" si="71"/>
        <v>11</v>
      </c>
      <c r="E477">
        <f t="shared" si="75"/>
        <v>0.79999999999999993</v>
      </c>
      <c r="F477">
        <f t="shared" si="72"/>
        <v>0.19771181761588263</v>
      </c>
      <c r="G477">
        <f t="shared" si="73"/>
        <v>0.51429380998492047</v>
      </c>
      <c r="H477">
        <f t="shared" si="74"/>
        <v>0.97258672232927323</v>
      </c>
      <c r="I477">
        <f t="shared" si="77"/>
        <v>1.3364501704360578</v>
      </c>
      <c r="AA477" s="480"/>
      <c r="AB477" s="156">
        <f t="shared" si="79"/>
        <v>24</v>
      </c>
      <c r="AC477" s="151">
        <f t="shared" si="78"/>
        <v>4.2596772726902348</v>
      </c>
      <c r="AD477" s="153">
        <f t="shared" si="78"/>
        <v>3.4028261053501945</v>
      </c>
      <c r="AE477" s="151">
        <f t="shared" si="78"/>
        <v>3.0087865704473615</v>
      </c>
      <c r="AF477" s="151">
        <f t="shared" si="78"/>
        <v>2.7762892892514772</v>
      </c>
      <c r="AG477" s="151">
        <f t="shared" si="78"/>
        <v>2.6206541478628855</v>
      </c>
      <c r="AH477" s="151">
        <f t="shared" si="78"/>
        <v>2.5081888234232546</v>
      </c>
      <c r="AI477" s="151">
        <f t="shared" si="78"/>
        <v>2.4226285334209159</v>
      </c>
      <c r="AJ477" s="151">
        <f t="shared" si="78"/>
        <v>2.3550814948462078</v>
      </c>
      <c r="AK477" s="151">
        <f t="shared" si="78"/>
        <v>2.3002435225148394</v>
      </c>
      <c r="AL477" s="152">
        <f t="shared" si="78"/>
        <v>2.2547388307326024</v>
      </c>
    </row>
    <row r="478" spans="1:38" ht="16.5" x14ac:dyDescent="0.35">
      <c r="A478">
        <f t="shared" si="71"/>
        <v>12</v>
      </c>
      <c r="E478">
        <f t="shared" si="75"/>
        <v>0.89999999999999991</v>
      </c>
      <c r="F478">
        <f t="shared" si="72"/>
        <v>0.17659372668241077</v>
      </c>
      <c r="G478">
        <f t="shared" si="73"/>
        <v>0.46831126174170823</v>
      </c>
      <c r="H478">
        <f t="shared" si="74"/>
        <v>0.95209245021846522</v>
      </c>
      <c r="I478">
        <f t="shared" si="77"/>
        <v>1.924494993748846</v>
      </c>
      <c r="AA478" s="480"/>
      <c r="AB478" s="156">
        <f t="shared" si="79"/>
        <v>25</v>
      </c>
      <c r="AC478" s="151">
        <f t="shared" si="78"/>
        <v>4.2416990502771483</v>
      </c>
      <c r="AD478" s="151">
        <f t="shared" si="78"/>
        <v>3.3851899614491678</v>
      </c>
      <c r="AE478" s="151">
        <f t="shared" si="78"/>
        <v>2.9912409095499499</v>
      </c>
      <c r="AF478" s="151">
        <f t="shared" si="78"/>
        <v>2.7587104697176317</v>
      </c>
      <c r="AG478" s="151">
        <f t="shared" si="78"/>
        <v>2.6029874027870603</v>
      </c>
      <c r="AH478" s="151">
        <f t="shared" si="78"/>
        <v>2.4904100180874127</v>
      </c>
      <c r="AI478" s="151">
        <f t="shared" si="78"/>
        <v>2.4047281081005818</v>
      </c>
      <c r="AJ478" s="151">
        <f t="shared" si="78"/>
        <v>2.3370572240603038</v>
      </c>
      <c r="AK478" s="151">
        <f t="shared" si="78"/>
        <v>2.2820969851989044</v>
      </c>
      <c r="AL478" s="152">
        <f t="shared" si="78"/>
        <v>2.2364735810505119</v>
      </c>
    </row>
    <row r="479" spans="1:38" ht="16.5" x14ac:dyDescent="0.35">
      <c r="A479">
        <f t="shared" si="71"/>
        <v>13</v>
      </c>
      <c r="E479">
        <f t="shared" si="75"/>
        <v>0.99999999999999989</v>
      </c>
      <c r="F479">
        <f t="shared" si="72"/>
        <v>0.15915494309189543</v>
      </c>
      <c r="G479">
        <f t="shared" si="73"/>
        <v>0.42441318157838787</v>
      </c>
      <c r="H479">
        <f t="shared" si="74"/>
        <v>0.88098526000976651</v>
      </c>
      <c r="I479">
        <f t="shared" si="77"/>
        <v>1.9897309346794583</v>
      </c>
      <c r="AA479" s="480"/>
      <c r="AB479" s="156">
        <f t="shared" si="79"/>
        <v>26</v>
      </c>
      <c r="AC479" s="151">
        <f t="shared" si="78"/>
        <v>4.2252012731274835</v>
      </c>
      <c r="AD479" s="151">
        <f t="shared" si="78"/>
        <v>3.3690163594954443</v>
      </c>
      <c r="AE479" s="151">
        <f t="shared" si="78"/>
        <v>2.975153963973391</v>
      </c>
      <c r="AF479" s="151">
        <f t="shared" si="78"/>
        <v>2.7425941372218592</v>
      </c>
      <c r="AG479" s="151">
        <f t="shared" si="78"/>
        <v>2.5867900870625924</v>
      </c>
      <c r="AH479" s="151">
        <f t="shared" si="78"/>
        <v>2.4741087807709587</v>
      </c>
      <c r="AI479" s="151">
        <f t="shared" si="78"/>
        <v>2.3883136780251122</v>
      </c>
      <c r="AJ479" s="151">
        <f t="shared" si="78"/>
        <v>2.3205272350337482</v>
      </c>
      <c r="AK479" s="151">
        <f t="shared" si="78"/>
        <v>2.2654526743472831</v>
      </c>
      <c r="AL479" s="152">
        <f t="shared" si="78"/>
        <v>2.2197180736851578</v>
      </c>
    </row>
    <row r="480" spans="1:38" ht="16.5" x14ac:dyDescent="0.35">
      <c r="A480">
        <f t="shared" si="71"/>
        <v>14</v>
      </c>
      <c r="E480">
        <f t="shared" si="75"/>
        <v>1.0999999999999999</v>
      </c>
      <c r="F480">
        <f t="shared" si="72"/>
        <v>0.14452217536346049</v>
      </c>
      <c r="G480">
        <f t="shared" si="73"/>
        <v>0.38364663763714296</v>
      </c>
      <c r="H480">
        <f t="shared" si="74"/>
        <v>0.7829189900618384</v>
      </c>
      <c r="I480">
        <f t="shared" si="77"/>
        <v>1.6147526940985768</v>
      </c>
      <c r="AA480" s="480"/>
      <c r="AB480" s="156">
        <f t="shared" si="79"/>
        <v>27</v>
      </c>
      <c r="AC480" s="151">
        <f t="shared" si="78"/>
        <v>4.2100084683597538</v>
      </c>
      <c r="AD480" s="151">
        <f t="shared" si="78"/>
        <v>3.3541308285291969</v>
      </c>
      <c r="AE480" s="151">
        <f t="shared" si="78"/>
        <v>2.9603513184112873</v>
      </c>
      <c r="AF480" s="151">
        <f t="shared" si="78"/>
        <v>2.7277653060339877</v>
      </c>
      <c r="AG480" s="151">
        <f t="shared" si="78"/>
        <v>2.5718864057841526</v>
      </c>
      <c r="AH480" s="151">
        <f t="shared" si="78"/>
        <v>2.4591084425783341</v>
      </c>
      <c r="AI480" s="151">
        <f t="shared" si="78"/>
        <v>2.3732077116305983</v>
      </c>
      <c r="AJ480" s="151">
        <f t="shared" si="78"/>
        <v>2.3053131774274274</v>
      </c>
      <c r="AK480" s="151">
        <f t="shared" si="78"/>
        <v>2.250131477202665</v>
      </c>
      <c r="AL480" s="152">
        <f t="shared" si="78"/>
        <v>2.2042924927726482</v>
      </c>
    </row>
    <row r="481" spans="1:38" ht="16.5" x14ac:dyDescent="0.35">
      <c r="A481">
        <f t="shared" si="71"/>
        <v>15</v>
      </c>
      <c r="E481">
        <f t="shared" si="75"/>
        <v>1.2</v>
      </c>
      <c r="F481">
        <f t="shared" si="72"/>
        <v>0.13207992798466989</v>
      </c>
      <c r="G481">
        <f t="shared" si="73"/>
        <v>0.34641549310916753</v>
      </c>
      <c r="H481">
        <f t="shared" si="74"/>
        <v>0.67568791813304707</v>
      </c>
      <c r="I481">
        <f t="shared" si="77"/>
        <v>1.0949817794544334</v>
      </c>
      <c r="AA481" s="480"/>
      <c r="AB481" s="156">
        <f t="shared" si="79"/>
        <v>28</v>
      </c>
      <c r="AC481" s="151">
        <f t="shared" si="78"/>
        <v>4.195971818557763</v>
      </c>
      <c r="AD481" s="151">
        <f t="shared" si="78"/>
        <v>3.3403855582377564</v>
      </c>
      <c r="AE481" s="151">
        <f t="shared" si="78"/>
        <v>2.9466852660172647</v>
      </c>
      <c r="AF481" s="151">
        <f t="shared" si="78"/>
        <v>2.7140758041450779</v>
      </c>
      <c r="AG481" s="151">
        <f t="shared" si="78"/>
        <v>2.5581275011108096</v>
      </c>
      <c r="AH481" s="151">
        <f t="shared" si="78"/>
        <v>2.4452593950893817</v>
      </c>
      <c r="AI481" s="151">
        <f t="shared" si="78"/>
        <v>2.3592598540564373</v>
      </c>
      <c r="AJ481" s="151">
        <f t="shared" si="78"/>
        <v>2.2912639841441607</v>
      </c>
      <c r="AK481" s="151">
        <f t="shared" si="78"/>
        <v>2.2359816606702894</v>
      </c>
      <c r="AL481" s="152">
        <f t="shared" si="78"/>
        <v>2.1900444888747517</v>
      </c>
    </row>
    <row r="482" spans="1:38" ht="16.5" x14ac:dyDescent="0.35">
      <c r="A482">
        <f t="shared" si="71"/>
        <v>16</v>
      </c>
      <c r="E482">
        <f t="shared" si="75"/>
        <v>1.3</v>
      </c>
      <c r="F482">
        <f t="shared" si="72"/>
        <v>0.12138097317487022</v>
      </c>
      <c r="G482">
        <f t="shared" si="73"/>
        <v>0.31276251058265137</v>
      </c>
      <c r="H482">
        <f t="shared" si="74"/>
        <v>0.57082371262123677</v>
      </c>
      <c r="I482">
        <f t="shared" si="77"/>
        <v>0.64898488143575417</v>
      </c>
      <c r="AA482" s="480"/>
      <c r="AB482" s="156">
        <f t="shared" si="79"/>
        <v>29</v>
      </c>
      <c r="AC482" s="151">
        <f t="shared" si="78"/>
        <v>4.1829642890582681</v>
      </c>
      <c r="AD482" s="151">
        <f t="shared" si="78"/>
        <v>3.3276544985720586</v>
      </c>
      <c r="AE482" s="151">
        <f t="shared" si="78"/>
        <v>2.9340298896641719</v>
      </c>
      <c r="AF482" s="151">
        <f t="shared" si="78"/>
        <v>2.701399331923267</v>
      </c>
      <c r="AG482" s="151">
        <f t="shared" si="78"/>
        <v>2.5453864879485462</v>
      </c>
      <c r="AH482" s="151">
        <f t="shared" si="78"/>
        <v>2.4324341045767879</v>
      </c>
      <c r="AI482" s="151">
        <f t="shared" si="78"/>
        <v>2.3463419220205526</v>
      </c>
      <c r="AJ482" s="151">
        <f t="shared" si="78"/>
        <v>2.2782508490515494</v>
      </c>
      <c r="AK482" s="151">
        <f t="shared" si="78"/>
        <v>2.2228738339299561</v>
      </c>
      <c r="AL482" s="152">
        <f t="shared" si="78"/>
        <v>2.176844128302351</v>
      </c>
    </row>
    <row r="483" spans="1:38" ht="16.5" x14ac:dyDescent="0.35">
      <c r="A483">
        <f t="shared" si="71"/>
        <v>17</v>
      </c>
      <c r="E483">
        <f t="shared" si="75"/>
        <v>1.4000000000000001</v>
      </c>
      <c r="F483">
        <f t="shared" si="72"/>
        <v>0.11209206442932527</v>
      </c>
      <c r="G483">
        <f t="shared" si="73"/>
        <v>0.28253658215210592</v>
      </c>
      <c r="H483">
        <f t="shared" si="74"/>
        <v>0.47478396427878539</v>
      </c>
      <c r="I483">
        <f t="shared" si="77"/>
        <v>0.34749094771244504</v>
      </c>
      <c r="AA483" s="480"/>
      <c r="AB483" s="157">
        <f t="shared" si="79"/>
        <v>30</v>
      </c>
      <c r="AC483" s="154">
        <f t="shared" si="78"/>
        <v>4.1708767857666915</v>
      </c>
      <c r="AD483" s="154">
        <f t="shared" si="78"/>
        <v>3.3158295010135221</v>
      </c>
      <c r="AE483" s="154">
        <f t="shared" si="78"/>
        <v>2.9222771906450378</v>
      </c>
      <c r="AF483" s="154">
        <f t="shared" si="78"/>
        <v>2.6896275736914181</v>
      </c>
      <c r="AG483" s="154">
        <f t="shared" si="78"/>
        <v>2.5335545475592705</v>
      </c>
      <c r="AH483" s="154">
        <f t="shared" si="78"/>
        <v>2.4205231885575733</v>
      </c>
      <c r="AI483" s="154">
        <f t="shared" si="78"/>
        <v>2.334343964844781</v>
      </c>
      <c r="AJ483" s="154">
        <f t="shared" si="78"/>
        <v>2.2661632741381426</v>
      </c>
      <c r="AK483" s="154">
        <f t="shared" si="78"/>
        <v>2.210696983303575</v>
      </c>
      <c r="AL483" s="155">
        <f t="shared" si="78"/>
        <v>2.164579917125474</v>
      </c>
    </row>
    <row r="484" spans="1:38" x14ac:dyDescent="0.25">
      <c r="E484">
        <f t="shared" si="75"/>
        <v>1.5000000000000002</v>
      </c>
      <c r="F484">
        <f t="shared" si="72"/>
        <v>0.1039595734978235</v>
      </c>
      <c r="G484">
        <f t="shared" si="73"/>
        <v>0.25549104782825105</v>
      </c>
      <c r="H484">
        <f t="shared" si="74"/>
        <v>0.39047183512129996</v>
      </c>
      <c r="I484">
        <f t="shared" si="77"/>
        <v>0.17229185423079299</v>
      </c>
    </row>
    <row r="485" spans="1:38" x14ac:dyDescent="0.25">
      <c r="E485">
        <f t="shared" si="75"/>
        <v>1.6000000000000003</v>
      </c>
      <c r="F485">
        <f t="shared" si="72"/>
        <v>9.6786946354782799E-2</v>
      </c>
      <c r="G485">
        <f t="shared" si="73"/>
        <v>0.23134071651855675</v>
      </c>
      <c r="H485">
        <f t="shared" si="74"/>
        <v>0.31855280966132493</v>
      </c>
      <c r="I485">
        <f t="shared" si="77"/>
        <v>8.0600599396426387E-2</v>
      </c>
    </row>
    <row r="486" spans="1:38" x14ac:dyDescent="0.25">
      <c r="E486">
        <f t="shared" ref="E486:E500" si="80">E485+$D$469</f>
        <v>1.7000000000000004</v>
      </c>
      <c r="F486">
        <f t="shared" si="72"/>
        <v>9.0419458632206962E-2</v>
      </c>
      <c r="G486">
        <f t="shared" si="73"/>
        <v>0.20979416427678702</v>
      </c>
      <c r="H486">
        <f t="shared" si="74"/>
        <v>0.25842442860176779</v>
      </c>
      <c r="I486">
        <f t="shared" si="77"/>
        <v>3.6092307604530513E-2</v>
      </c>
    </row>
    <row r="487" spans="1:38" x14ac:dyDescent="0.25">
      <c r="E487">
        <f t="shared" si="80"/>
        <v>1.8000000000000005</v>
      </c>
      <c r="F487">
        <f t="shared" si="72"/>
        <v>8.4733636121092526E-2</v>
      </c>
      <c r="G487">
        <f t="shared" si="73"/>
        <v>0.19057127657388565</v>
      </c>
      <c r="H487">
        <f t="shared" si="74"/>
        <v>0.20886250121021915</v>
      </c>
      <c r="I487">
        <f t="shared" si="77"/>
        <v>1.5643846080418949E-2</v>
      </c>
    </row>
    <row r="488" spans="1:38" x14ac:dyDescent="0.25">
      <c r="E488">
        <f t="shared" si="80"/>
        <v>1.9000000000000006</v>
      </c>
      <c r="F488">
        <f t="shared" si="72"/>
        <v>7.9629745724676237E-2</v>
      </c>
      <c r="G488">
        <f t="shared" si="73"/>
        <v>0.17341204275932939</v>
      </c>
      <c r="H488">
        <f t="shared" si="74"/>
        <v>0.16841896962977351</v>
      </c>
      <c r="I488">
        <f t="shared" si="77"/>
        <v>6.6209540711401121E-3</v>
      </c>
    </row>
    <row r="489" spans="1:38" x14ac:dyDescent="0.25">
      <c r="E489">
        <f t="shared" si="80"/>
        <v>2.0000000000000004</v>
      </c>
      <c r="F489">
        <f t="shared" si="72"/>
        <v>7.5026359679758861E-2</v>
      </c>
      <c r="G489">
        <f t="shared" si="73"/>
        <v>0.15808023109480043</v>
      </c>
      <c r="H489">
        <f t="shared" si="74"/>
        <v>0.13564800848149675</v>
      </c>
      <c r="I489">
        <f t="shared" si="77"/>
        <v>2.7551055016848884E-3</v>
      </c>
    </row>
    <row r="490" spans="1:38" x14ac:dyDescent="0.25">
      <c r="E490">
        <f t="shared" si="80"/>
        <v>2.1000000000000005</v>
      </c>
      <c r="F490">
        <f t="shared" si="72"/>
        <v>7.0856351501167314E-2</v>
      </c>
      <c r="G490">
        <f t="shared" si="73"/>
        <v>0.14436413572035328</v>
      </c>
      <c r="H490">
        <f t="shared" si="74"/>
        <v>0.10922154897307229</v>
      </c>
    </row>
    <row r="491" spans="1:38" x14ac:dyDescent="0.25">
      <c r="E491">
        <f t="shared" si="80"/>
        <v>2.2000000000000006</v>
      </c>
      <c r="F491">
        <f t="shared" si="72"/>
        <v>6.7063900464313098E-2</v>
      </c>
      <c r="G491">
        <f t="shared" si="73"/>
        <v>0.13207571543264782</v>
      </c>
      <c r="H491">
        <f t="shared" si="74"/>
        <v>8.7977803805804222E-2</v>
      </c>
    </row>
    <row r="492" spans="1:38" x14ac:dyDescent="0.25">
      <c r="E492">
        <f t="shared" si="80"/>
        <v>2.3000000000000007</v>
      </c>
      <c r="F492">
        <f t="shared" si="72"/>
        <v>6.3602219223765757E-2</v>
      </c>
      <c r="G492">
        <f t="shared" si="73"/>
        <v>0.12104891382814494</v>
      </c>
      <c r="H492">
        <f t="shared" si="74"/>
        <v>7.0931685868098213E-2</v>
      </c>
    </row>
    <row r="493" spans="1:38" x14ac:dyDescent="0.25">
      <c r="E493">
        <f t="shared" si="80"/>
        <v>2.4000000000000008</v>
      </c>
      <c r="F493">
        <f t="shared" si="72"/>
        <v>6.0431808241323513E-2</v>
      </c>
      <c r="G493">
        <f t="shared" si="73"/>
        <v>0.11113762701437108</v>
      </c>
      <c r="H493">
        <f t="shared" si="74"/>
        <v>5.7265280193279436E-2</v>
      </c>
    </row>
    <row r="494" spans="1:38" x14ac:dyDescent="0.25">
      <c r="E494">
        <f t="shared" si="80"/>
        <v>2.5000000000000009</v>
      </c>
      <c r="F494">
        <f t="shared" si="72"/>
        <v>5.7519099547985189E-2</v>
      </c>
      <c r="G494">
        <f t="shared" si="73"/>
        <v>0.10221358797920445</v>
      </c>
      <c r="H494">
        <f t="shared" si="74"/>
        <v>4.6309249899204478E-2</v>
      </c>
    </row>
    <row r="495" spans="1:38" x14ac:dyDescent="0.25">
      <c r="E495">
        <f t="shared" si="80"/>
        <v>2.600000000000001</v>
      </c>
      <c r="F495">
        <f t="shared" si="72"/>
        <v>5.4835392013788363E-2</v>
      </c>
      <c r="G495">
        <f t="shared" si="73"/>
        <v>9.4164316926588665E-2</v>
      </c>
      <c r="H495">
        <f t="shared" si="74"/>
        <v>3.7521368675257141E-2</v>
      </c>
    </row>
    <row r="496" spans="1:38" x14ac:dyDescent="0.25">
      <c r="E496">
        <f t="shared" si="80"/>
        <v>2.7000000000000011</v>
      </c>
      <c r="F496">
        <f t="shared" si="72"/>
        <v>5.2356007489418675E-2</v>
      </c>
      <c r="G496">
        <f t="shared" si="73"/>
        <v>8.6891214626218211E-2</v>
      </c>
      <c r="H496">
        <f t="shared" si="74"/>
        <v>3.0465474843596088E-2</v>
      </c>
    </row>
    <row r="497" spans="5:8" x14ac:dyDescent="0.25">
      <c r="E497">
        <f t="shared" si="80"/>
        <v>2.8000000000000012</v>
      </c>
      <c r="F497">
        <f t="shared" si="72"/>
        <v>5.005961613168964E-2</v>
      </c>
      <c r="G497">
        <f t="shared" si="73"/>
        <v>8.0307832807185661E-2</v>
      </c>
      <c r="H497">
        <f t="shared" si="74"/>
        <v>2.4792419125116878E-2</v>
      </c>
    </row>
    <row r="498" spans="5:8" x14ac:dyDescent="0.25">
      <c r="E498">
        <f t="shared" si="80"/>
        <v>2.9000000000000012</v>
      </c>
      <c r="F498">
        <f t="shared" si="72"/>
        <v>4.7927692625268158E-2</v>
      </c>
      <c r="G498">
        <f t="shared" si="73"/>
        <v>7.4338330589583002E-2</v>
      </c>
      <c r="H498">
        <f t="shared" si="74"/>
        <v>2.0223596702556284E-2</v>
      </c>
    </row>
    <row r="499" spans="5:8" x14ac:dyDescent="0.25">
      <c r="E499">
        <f t="shared" si="80"/>
        <v>3.0000000000000013</v>
      </c>
      <c r="F499">
        <f t="shared" si="72"/>
        <v>4.5944074618482669E-2</v>
      </c>
      <c r="G499">
        <f t="shared" si="73"/>
        <v>6.8916111927723969E-2</v>
      </c>
      <c r="H499">
        <f t="shared" si="74"/>
        <v>1.6537125466129465E-2</v>
      </c>
    </row>
    <row r="500" spans="5:8" x14ac:dyDescent="0.25">
      <c r="E500">
        <f t="shared" si="80"/>
        <v>3.1000000000000014</v>
      </c>
      <c r="F500">
        <f t="shared" si="72"/>
        <v>4.4094601662419554E-2</v>
      </c>
      <c r="G500">
        <f t="shared" si="73"/>
        <v>6.3982631714558771E-2</v>
      </c>
      <c r="H500">
        <f t="shared" si="74"/>
        <v>1.355647150605851E-2</v>
      </c>
    </row>
    <row r="501" spans="5:8" x14ac:dyDescent="0.25">
      <c r="E501">
        <f t="shared" ref="E501:E529" si="81">E500+$D$469</f>
        <v>3.2000000000000015</v>
      </c>
      <c r="F501">
        <f t="shared" si="72"/>
        <v>4.2366818060546249E-2</v>
      </c>
      <c r="G501">
        <f t="shared" si="73"/>
        <v>5.9486354888480059E-2</v>
      </c>
      <c r="H501">
        <f t="shared" si="74"/>
        <v>1.1141214927629423E-2</v>
      </c>
    </row>
    <row r="502" spans="5:8" x14ac:dyDescent="0.25">
      <c r="E502">
        <f t="shared" si="81"/>
        <v>3.3000000000000016</v>
      </c>
      <c r="F502">
        <f t="shared" si="72"/>
        <v>4.0749726833703433E-2</v>
      </c>
      <c r="G502">
        <f t="shared" si="73"/>
        <v>5.5381851929995202E-2</v>
      </c>
      <c r="H502">
        <f t="shared" si="74"/>
        <v>9.1796242119791642E-3</v>
      </c>
    </row>
    <row r="503" spans="5:8" x14ac:dyDescent="0.25">
      <c r="E503">
        <f t="shared" si="81"/>
        <v>3.4000000000000017</v>
      </c>
      <c r="F503">
        <f t="shared" si="72"/>
        <v>3.9233584851167069E-2</v>
      </c>
      <c r="G503">
        <f t="shared" si="73"/>
        <v>5.1629014511701286E-2</v>
      </c>
      <c r="H503">
        <f t="shared" si="74"/>
        <v>7.5827245329236391E-3</v>
      </c>
    </row>
    <row r="504" spans="5:8" x14ac:dyDescent="0.25">
      <c r="E504">
        <f t="shared" si="81"/>
        <v>3.5000000000000018</v>
      </c>
      <c r="F504">
        <f t="shared" si="72"/>
        <v>3.7809731330881044E-2</v>
      </c>
      <c r="G504">
        <f t="shared" si="73"/>
        <v>4.8192376143328927E-2</v>
      </c>
      <c r="H504">
        <f t="shared" si="74"/>
        <v>6.2795811786069688E-3</v>
      </c>
    </row>
    <row r="505" spans="5:8" x14ac:dyDescent="0.25">
      <c r="E505">
        <f t="shared" si="81"/>
        <v>3.6000000000000019</v>
      </c>
      <c r="F505">
        <f t="shared" si="72"/>
        <v>3.6470443553976113E-2</v>
      </c>
      <c r="G505">
        <f t="shared" si="73"/>
        <v>4.5040524055639207E-2</v>
      </c>
      <c r="H505">
        <f t="shared" si="74"/>
        <v>5.2135606335075727E-3</v>
      </c>
    </row>
    <row r="506" spans="5:8" x14ac:dyDescent="0.25">
      <c r="E506">
        <f t="shared" si="81"/>
        <v>3.700000000000002</v>
      </c>
      <c r="F506">
        <f t="shared" si="72"/>
        <v>3.5208814901507228E-2</v>
      </c>
      <c r="G506">
        <f t="shared" si="73"/>
        <v>4.214559006911113E-2</v>
      </c>
      <c r="H506">
        <f t="shared" si="74"/>
        <v>4.3393723096952453E-3</v>
      </c>
    </row>
    <row r="507" spans="5:8" x14ac:dyDescent="0.25">
      <c r="E507">
        <f t="shared" si="81"/>
        <v>3.800000000000002</v>
      </c>
      <c r="F507">
        <f t="shared" si="72"/>
        <v>3.4018651299922757E-2</v>
      </c>
      <c r="G507">
        <f t="shared" si="73"/>
        <v>3.9482809668441692E-2</v>
      </c>
      <c r="H507">
        <f t="shared" si="74"/>
        <v>3.6207303090899038E-3</v>
      </c>
    </row>
    <row r="508" spans="5:8" x14ac:dyDescent="0.25">
      <c r="E508">
        <f t="shared" si="81"/>
        <v>3.9000000000000021</v>
      </c>
      <c r="F508">
        <f t="shared" si="72"/>
        <v>3.2894382925535315E-2</v>
      </c>
      <c r="G508">
        <f t="shared" si="73"/>
        <v>3.7030139884022671E-2</v>
      </c>
      <c r="H508">
        <f t="shared" si="74"/>
        <v>3.0285058585438557E-3</v>
      </c>
    </row>
    <row r="509" spans="5:8" x14ac:dyDescent="0.25">
      <c r="E509">
        <f t="shared" si="81"/>
        <v>4.0000000000000018</v>
      </c>
      <c r="F509">
        <f t="shared" si="72"/>
        <v>3.1830988618379068E-2</v>
      </c>
      <c r="G509">
        <f t="shared" si="73"/>
        <v>3.4767927834901485E-2</v>
      </c>
    </row>
    <row r="510" spans="5:8" x14ac:dyDescent="0.25">
      <c r="E510">
        <f t="shared" si="81"/>
        <v>4.1000000000000014</v>
      </c>
      <c r="F510">
        <f t="shared" si="72"/>
        <v>3.0823930930381604E-2</v>
      </c>
      <c r="G510">
        <f t="shared" si="73"/>
        <v>3.2678622903829682E-2</v>
      </c>
    </row>
    <row r="511" spans="5:8" x14ac:dyDescent="0.25">
      <c r="E511">
        <f t="shared" si="81"/>
        <v>4.2000000000000011</v>
      </c>
      <c r="F511">
        <f t="shared" si="72"/>
        <v>2.9869100110288524E-2</v>
      </c>
      <c r="G511">
        <f t="shared" si="73"/>
        <v>3.0746526495657782E-2</v>
      </c>
    </row>
    <row r="512" spans="5:8" x14ac:dyDescent="0.25">
      <c r="E512">
        <f t="shared" si="81"/>
        <v>4.3000000000000007</v>
      </c>
      <c r="F512">
        <f t="shared" si="72"/>
        <v>2.8962765629813949E-2</v>
      </c>
      <c r="G512">
        <f t="shared" si="73"/>
        <v>2.8957574183962186E-2</v>
      </c>
    </row>
    <row r="513" spans="5:7" x14ac:dyDescent="0.25">
      <c r="E513">
        <f t="shared" si="81"/>
        <v>4.4000000000000004</v>
      </c>
      <c r="F513">
        <f t="shared" si="72"/>
        <v>2.8101534098450644E-2</v>
      </c>
      <c r="G513">
        <f t="shared" si="73"/>
        <v>2.7299145788952643E-2</v>
      </c>
    </row>
    <row r="514" spans="5:7" x14ac:dyDescent="0.25">
      <c r="E514">
        <f t="shared" si="81"/>
        <v>4.5</v>
      </c>
      <c r="F514">
        <f t="shared" si="72"/>
        <v>2.7282312610821407E-2</v>
      </c>
      <c r="G514">
        <f t="shared" si="73"/>
        <v>2.5759899565056699E-2</v>
      </c>
    </row>
    <row r="515" spans="5:7" x14ac:dyDescent="0.25">
      <c r="E515">
        <f t="shared" si="81"/>
        <v>4.5999999999999996</v>
      </c>
      <c r="F515">
        <f t="shared" si="72"/>
        <v>2.6502276730072504E-2</v>
      </c>
      <c r="G515">
        <f t="shared" si="73"/>
        <v>2.432962722165825E-2</v>
      </c>
    </row>
    <row r="516" spans="5:7" x14ac:dyDescent="0.25">
      <c r="E516">
        <f t="shared" si="81"/>
        <v>4.6999999999999993</v>
      </c>
      <c r="F516">
        <f t="shared" si="72"/>
        <v>2.5758842441111363E-2</v>
      </c>
      <c r="G516">
        <f t="shared" si="73"/>
        <v>2.2999126967081313E-2</v>
      </c>
    </row>
    <row r="517" spans="5:7" x14ac:dyDescent="0.25">
      <c r="E517">
        <f t="shared" si="81"/>
        <v>4.7999999999999989</v>
      </c>
      <c r="F517">
        <f t="shared" si="72"/>
        <v>2.5049641514333955E-2</v>
      </c>
      <c r="G517">
        <f t="shared" si="73"/>
        <v>2.1760092164792754E-2</v>
      </c>
    </row>
    <row r="518" spans="5:7" x14ac:dyDescent="0.25">
      <c r="E518">
        <f t="shared" si="81"/>
        <v>4.8999999999999986</v>
      </c>
      <c r="F518">
        <f t="shared" si="72"/>
        <v>2.4372499808468322E-2</v>
      </c>
      <c r="G518">
        <f t="shared" si="73"/>
        <v>2.0605013531513332E-2</v>
      </c>
    </row>
    <row r="519" spans="5:7" x14ac:dyDescent="0.25">
      <c r="E519">
        <f t="shared" si="81"/>
        <v>4.9999999999999982</v>
      </c>
      <c r="F519">
        <f t="shared" si="72"/>
        <v>2.3725418113905928E-2</v>
      </c>
      <c r="G519">
        <f t="shared" si="73"/>
        <v>1.9527093097864965E-2</v>
      </c>
    </row>
    <row r="520" spans="5:7" x14ac:dyDescent="0.25">
      <c r="E520">
        <f t="shared" si="81"/>
        <v>5.0999999999999979</v>
      </c>
      <c r="F520">
        <f t="shared" si="72"/>
        <v>2.3106555198273676E-2</v>
      </c>
      <c r="G520">
        <f t="shared" si="73"/>
        <v>1.8520168400631063E-2</v>
      </c>
    </row>
    <row r="521" spans="5:7" x14ac:dyDescent="0.25">
      <c r="E521">
        <f t="shared" si="81"/>
        <v>5.1999999999999975</v>
      </c>
      <c r="F521">
        <f t="shared" si="72"/>
        <v>2.2514212766306586E-2</v>
      </c>
      <c r="G521">
        <f t="shared" si="73"/>
        <v>1.7578645587945283E-2</v>
      </c>
    </row>
    <row r="522" spans="5:7" x14ac:dyDescent="0.25">
      <c r="E522">
        <f t="shared" si="81"/>
        <v>5.2999999999999972</v>
      </c>
      <c r="F522">
        <f t="shared" si="72"/>
        <v>2.1946822088144552E-2</v>
      </c>
      <c r="G522">
        <f t="shared" si="73"/>
        <v>1.6697440300136913E-2</v>
      </c>
    </row>
    <row r="523" spans="5:7" x14ac:dyDescent="0.25">
      <c r="E523">
        <f t="shared" si="81"/>
        <v>5.3999999999999968</v>
      </c>
      <c r="F523">
        <f t="shared" si="72"/>
        <v>2.140293208546877E-2</v>
      </c>
      <c r="G523">
        <f t="shared" si="73"/>
        <v>1.5871925344143417E-2</v>
      </c>
    </row>
    <row r="524" spans="5:7" x14ac:dyDescent="0.25">
      <c r="E524">
        <f t="shared" si="81"/>
        <v>5.4999999999999964</v>
      </c>
      <c r="F524">
        <f t="shared" si="72"/>
        <v>2.0881198694602181E-2</v>
      </c>
      <c r="G524">
        <f t="shared" si="73"/>
        <v>1.5097884312267253E-2</v>
      </c>
    </row>
    <row r="525" spans="5:7" x14ac:dyDescent="0.25">
      <c r="E525">
        <f t="shared" si="81"/>
        <v>5.5999999999999961</v>
      </c>
      <c r="F525">
        <f t="shared" si="72"/>
        <v>2.0380375350786437E-2</v>
      </c>
      <c r="G525">
        <f t="shared" si="73"/>
        <v>1.4371470409932606E-2</v>
      </c>
    </row>
    <row r="526" spans="5:7" x14ac:dyDescent="0.25">
      <c r="E526">
        <f t="shared" si="81"/>
        <v>5.6999999999999957</v>
      </c>
      <c r="F526">
        <f t="shared" si="72"/>
        <v>1.9899304459099355E-2</v>
      </c>
      <c r="G526">
        <f t="shared" si="73"/>
        <v>1.3689169854809523E-2</v>
      </c>
    </row>
    <row r="527" spans="5:7" x14ac:dyDescent="0.25">
      <c r="E527">
        <f t="shared" si="81"/>
        <v>5.7999999999999954</v>
      </c>
      <c r="F527">
        <f t="shared" si="72"/>
        <v>1.94369097355311E-2</v>
      </c>
      <c r="G527">
        <f t="shared" si="73"/>
        <v>1.3047769293616104E-2</v>
      </c>
    </row>
    <row r="528" spans="5:7" x14ac:dyDescent="0.25">
      <c r="E528">
        <f t="shared" si="81"/>
        <v>5.899999999999995</v>
      </c>
      <c r="F528">
        <f t="shared" si="72"/>
        <v>1.8992189317119063E-2</v>
      </c>
      <c r="G528">
        <f t="shared" si="73"/>
        <v>1.2444326755112423E-2</v>
      </c>
    </row>
    <row r="529" spans="1:7" x14ac:dyDescent="0.25">
      <c r="E529">
        <f t="shared" si="81"/>
        <v>5.9999999999999947</v>
      </c>
      <c r="F529">
        <f t="shared" si="72"/>
        <v>1.85642095531828E-2</v>
      </c>
      <c r="G529">
        <f t="shared" si="73"/>
        <v>1.187614571998701E-2</v>
      </c>
    </row>
    <row r="534" spans="1:7" x14ac:dyDescent="0.25">
      <c r="A534">
        <v>1</v>
      </c>
      <c r="B534">
        <v>0</v>
      </c>
    </row>
    <row r="535" spans="1:7" x14ac:dyDescent="0.25">
      <c r="B535">
        <f>B534+1</f>
        <v>1</v>
      </c>
      <c r="C535" s="45">
        <v>10</v>
      </c>
      <c r="D535" s="45">
        <f>LOG10(C535)</f>
        <v>1</v>
      </c>
      <c r="E535" s="45">
        <f>SQRT(C535)</f>
        <v>3.1622776601683795</v>
      </c>
    </row>
    <row r="536" spans="1:7" x14ac:dyDescent="0.25">
      <c r="B536">
        <f t="shared" ref="B536:B544" si="82">B535+1</f>
        <v>2</v>
      </c>
      <c r="C536" s="45">
        <v>32</v>
      </c>
      <c r="D536" s="45">
        <f t="shared" ref="D536:D544" si="83">LOG10(C536)</f>
        <v>1.505149978319906</v>
      </c>
      <c r="E536" s="45">
        <f t="shared" ref="E536:E544" si="84">SQRT(C536)</f>
        <v>5.6568542494923806</v>
      </c>
    </row>
    <row r="537" spans="1:7" x14ac:dyDescent="0.25">
      <c r="B537">
        <f t="shared" si="82"/>
        <v>3</v>
      </c>
      <c r="C537" s="45">
        <v>45</v>
      </c>
      <c r="D537" s="45">
        <f t="shared" si="83"/>
        <v>1.6532125137753437</v>
      </c>
      <c r="E537" s="45">
        <f t="shared" si="84"/>
        <v>6.7082039324993694</v>
      </c>
    </row>
    <row r="538" spans="1:7" x14ac:dyDescent="0.25">
      <c r="B538">
        <f t="shared" si="82"/>
        <v>4</v>
      </c>
      <c r="C538" s="45">
        <v>41</v>
      </c>
      <c r="D538" s="45">
        <f t="shared" si="83"/>
        <v>1.6127838567197355</v>
      </c>
      <c r="E538" s="45">
        <f t="shared" si="84"/>
        <v>6.4031242374328485</v>
      </c>
    </row>
    <row r="539" spans="1:7" x14ac:dyDescent="0.25">
      <c r="B539">
        <f t="shared" si="82"/>
        <v>5</v>
      </c>
      <c r="C539" s="45">
        <v>29</v>
      </c>
      <c r="D539" s="45">
        <f t="shared" si="83"/>
        <v>1.4623979978989561</v>
      </c>
      <c r="E539" s="45">
        <f t="shared" si="84"/>
        <v>5.3851648071345037</v>
      </c>
    </row>
    <row r="540" spans="1:7" x14ac:dyDescent="0.25">
      <c r="B540">
        <f t="shared" si="82"/>
        <v>6</v>
      </c>
      <c r="C540" s="45">
        <v>22</v>
      </c>
      <c r="D540" s="45">
        <f t="shared" si="83"/>
        <v>1.3424226808222062</v>
      </c>
      <c r="E540" s="45">
        <f t="shared" si="84"/>
        <v>4.6904157598234297</v>
      </c>
    </row>
    <row r="541" spans="1:7" x14ac:dyDescent="0.25">
      <c r="B541">
        <f t="shared" si="82"/>
        <v>7</v>
      </c>
      <c r="C541" s="45">
        <v>18</v>
      </c>
      <c r="D541" s="45">
        <f t="shared" si="83"/>
        <v>1.255272505103306</v>
      </c>
      <c r="E541" s="45">
        <f t="shared" si="84"/>
        <v>4.2426406871192848</v>
      </c>
    </row>
    <row r="542" spans="1:7" x14ac:dyDescent="0.25">
      <c r="B542">
        <f t="shared" si="82"/>
        <v>8</v>
      </c>
      <c r="C542" s="45">
        <v>36</v>
      </c>
      <c r="D542" s="45">
        <f t="shared" si="83"/>
        <v>1.5563025007672873</v>
      </c>
      <c r="E542" s="45">
        <f t="shared" si="84"/>
        <v>6</v>
      </c>
    </row>
    <row r="543" spans="1:7" x14ac:dyDescent="0.25">
      <c r="B543">
        <f t="shared" si="82"/>
        <v>9</v>
      </c>
      <c r="C543" s="45">
        <v>40</v>
      </c>
      <c r="D543" s="45">
        <f t="shared" si="83"/>
        <v>1.6020599913279623</v>
      </c>
      <c r="E543" s="45">
        <f t="shared" si="84"/>
        <v>6.324555320336759</v>
      </c>
    </row>
    <row r="544" spans="1:7" x14ac:dyDescent="0.25">
      <c r="B544">
        <f t="shared" si="82"/>
        <v>10</v>
      </c>
      <c r="C544" s="45">
        <v>30</v>
      </c>
      <c r="D544" s="45">
        <f t="shared" si="83"/>
        <v>1.4771212547196624</v>
      </c>
      <c r="E544" s="45">
        <f t="shared" si="84"/>
        <v>5.4772255750516612</v>
      </c>
    </row>
    <row r="545" spans="1:9" x14ac:dyDescent="0.25">
      <c r="C545" s="45"/>
      <c r="D545" s="45"/>
      <c r="E545" s="45"/>
    </row>
    <row r="546" spans="1:9" x14ac:dyDescent="0.25">
      <c r="C546" s="45"/>
      <c r="D546" s="45"/>
      <c r="E546" s="45"/>
    </row>
    <row r="551" spans="1:9" x14ac:dyDescent="0.25">
      <c r="H551" t="s">
        <v>22</v>
      </c>
    </row>
    <row r="552" spans="1:9" x14ac:dyDescent="0.25">
      <c r="C552" t="s">
        <v>28</v>
      </c>
      <c r="D552" t="s">
        <v>4</v>
      </c>
    </row>
    <row r="553" spans="1:9" x14ac:dyDescent="0.25">
      <c r="A553">
        <f>J553</f>
        <v>0</v>
      </c>
      <c r="B553">
        <f>I553</f>
        <v>3.6678880124196545E-3</v>
      </c>
      <c r="C553">
        <v>0.1</v>
      </c>
      <c r="D553" s="48">
        <v>5</v>
      </c>
      <c r="E553" s="47">
        <f>20*(SIN(D553)+1)*EXP(-D553/10)+5</f>
        <v>5.4982737357348315</v>
      </c>
      <c r="F553">
        <f>LOG10(E553)</f>
        <v>0.74022635772639744</v>
      </c>
      <c r="G553">
        <f>SQRT(E553)</f>
        <v>2.3448398102503361</v>
      </c>
      <c r="H553">
        <f>(D553-$D$676)/$D$677</f>
        <v>-1.7180258738522558</v>
      </c>
      <c r="I553" s="29">
        <f>E553/$E$676</f>
        <v>3.6678880124196545E-3</v>
      </c>
    </row>
    <row r="554" spans="1:9" x14ac:dyDescent="0.25">
      <c r="A554">
        <f t="shared" ref="A554:A617" si="85">J554</f>
        <v>0</v>
      </c>
      <c r="B554">
        <f t="shared" ref="B554:B617" si="86">I554</f>
        <v>3.9298476800607354E-3</v>
      </c>
      <c r="D554" s="48">
        <f>D553+$C$553</f>
        <v>5.0999999999999996</v>
      </c>
      <c r="E554" s="47">
        <f t="shared" ref="E554:E617" si="87">20*(SIN(D554)+1)*EXP(-D554/10)+5</f>
        <v>5.8909591054996024</v>
      </c>
      <c r="F554">
        <f t="shared" ref="F554:F617" si="88">LOG10(E554)</f>
        <v>0.77018600791380565</v>
      </c>
      <c r="G554">
        <f t="shared" ref="G554:G617" si="89">SQRT(E554)</f>
        <v>2.427129808127205</v>
      </c>
      <c r="H554">
        <f t="shared" ref="H554:H617" si="90">(D554-$D$676)/$D$677</f>
        <v>-1.6898615152645138</v>
      </c>
      <c r="I554" s="29">
        <f t="shared" ref="I554:I617" si="91">E554/$E$676</f>
        <v>3.9298476800607354E-3</v>
      </c>
    </row>
    <row r="555" spans="1:9" x14ac:dyDescent="0.25">
      <c r="A555">
        <f t="shared" si="85"/>
        <v>0</v>
      </c>
      <c r="B555">
        <f t="shared" si="86"/>
        <v>4.2599364522851258E-3</v>
      </c>
      <c r="D555" s="48">
        <f t="shared" ref="D555:D612" si="92">D554+$C$553</f>
        <v>5.1999999999999993</v>
      </c>
      <c r="E555" s="47">
        <f t="shared" si="87"/>
        <v>6.3857720388925845</v>
      </c>
      <c r="F555">
        <f t="shared" si="88"/>
        <v>0.8052134109121446</v>
      </c>
      <c r="G555">
        <f t="shared" si="89"/>
        <v>2.5270085157934439</v>
      </c>
      <c r="H555">
        <f t="shared" si="90"/>
        <v>-1.661697156676772</v>
      </c>
      <c r="I555" s="29">
        <f t="shared" si="91"/>
        <v>4.2599364522851258E-3</v>
      </c>
    </row>
    <row r="556" spans="1:9" x14ac:dyDescent="0.25">
      <c r="A556">
        <f t="shared" si="85"/>
        <v>0</v>
      </c>
      <c r="B556">
        <f t="shared" si="86"/>
        <v>4.6527186841252071E-3</v>
      </c>
      <c r="D556" s="48">
        <f t="shared" si="92"/>
        <v>5.2999999999999989</v>
      </c>
      <c r="E556" s="47">
        <f t="shared" si="87"/>
        <v>6.974564341677465</v>
      </c>
      <c r="F556">
        <f t="shared" si="88"/>
        <v>0.84351708507616463</v>
      </c>
      <c r="G556">
        <f t="shared" si="89"/>
        <v>2.64094004886091</v>
      </c>
      <c r="H556">
        <f t="shared" si="90"/>
        <v>-1.63353279808903</v>
      </c>
      <c r="I556" s="29">
        <f t="shared" si="91"/>
        <v>4.6527186841252071E-3</v>
      </c>
    </row>
    <row r="557" spans="1:9" x14ac:dyDescent="0.25">
      <c r="A557">
        <f t="shared" si="85"/>
        <v>0</v>
      </c>
      <c r="B557">
        <f t="shared" si="86"/>
        <v>5.1022478238290248E-3</v>
      </c>
      <c r="C557" s="49">
        <v>12.187234815863459</v>
      </c>
      <c r="D557" s="48">
        <f t="shared" si="92"/>
        <v>5.3999999999999986</v>
      </c>
      <c r="E557" s="47">
        <f t="shared" si="87"/>
        <v>7.6484219550811172</v>
      </c>
      <c r="F557">
        <f t="shared" si="88"/>
        <v>0.88357183948095164</v>
      </c>
      <c r="G557">
        <f t="shared" si="89"/>
        <v>2.7655780508026018</v>
      </c>
      <c r="H557">
        <f t="shared" si="90"/>
        <v>-1.6053684395012882</v>
      </c>
      <c r="I557" s="29">
        <f t="shared" si="91"/>
        <v>5.1022478238290248E-3</v>
      </c>
    </row>
    <row r="558" spans="1:9" x14ac:dyDescent="0.25">
      <c r="A558">
        <f t="shared" si="85"/>
        <v>0</v>
      </c>
      <c r="B558">
        <f t="shared" si="86"/>
        <v>5.6021358649405032E-3</v>
      </c>
      <c r="C558" s="49">
        <v>0.5080771213378803</v>
      </c>
      <c r="D558" s="48">
        <f t="shared" si="92"/>
        <v>5.4999999999999982</v>
      </c>
      <c r="E558" s="47">
        <f t="shared" si="87"/>
        <v>8.3977690665372311</v>
      </c>
      <c r="F558">
        <f t="shared" si="88"/>
        <v>0.92416392763610111</v>
      </c>
      <c r="G558">
        <f t="shared" si="89"/>
        <v>2.8978904510932137</v>
      </c>
      <c r="H558">
        <f t="shared" si="90"/>
        <v>-1.5772040809135464</v>
      </c>
      <c r="I558" s="29">
        <f t="shared" si="91"/>
        <v>5.6021358649405032E-3</v>
      </c>
    </row>
    <row r="559" spans="1:9" x14ac:dyDescent="0.25">
      <c r="A559">
        <f t="shared" si="85"/>
        <v>0</v>
      </c>
      <c r="B559">
        <f t="shared" si="86"/>
        <v>6.145625834600375E-3</v>
      </c>
      <c r="D559" s="48">
        <f t="shared" si="92"/>
        <v>5.5999999999999979</v>
      </c>
      <c r="E559" s="47">
        <f t="shared" si="87"/>
        <v>9.2124767718155294</v>
      </c>
      <c r="F559">
        <f t="shared" si="88"/>
        <v>0.96437640584566331</v>
      </c>
      <c r="G559">
        <f t="shared" si="89"/>
        <v>3.0352062156986186</v>
      </c>
      <c r="H559">
        <f t="shared" si="90"/>
        <v>-1.5490397223258043</v>
      </c>
      <c r="I559" s="29">
        <f t="shared" si="91"/>
        <v>6.145625834600375E-3</v>
      </c>
    </row>
    <row r="560" spans="1:9" x14ac:dyDescent="0.25">
      <c r="A560">
        <f t="shared" si="85"/>
        <v>0</v>
      </c>
      <c r="B560">
        <f t="shared" si="86"/>
        <v>6.7256665336896827E-3</v>
      </c>
      <c r="D560" s="48">
        <f t="shared" si="92"/>
        <v>5.6999999999999975</v>
      </c>
      <c r="E560" s="47">
        <f t="shared" si="87"/>
        <v>10.081975112730285</v>
      </c>
      <c r="F560">
        <f t="shared" si="88"/>
        <v>1.0035456210512246</v>
      </c>
      <c r="G560">
        <f t="shared" si="89"/>
        <v>3.1752126090594759</v>
      </c>
      <c r="H560">
        <f t="shared" si="90"/>
        <v>-1.5208753637380625</v>
      </c>
      <c r="I560" s="29">
        <f t="shared" si="91"/>
        <v>6.7256665336896827E-3</v>
      </c>
    </row>
    <row r="561" spans="1:9" x14ac:dyDescent="0.25">
      <c r="A561">
        <f t="shared" si="85"/>
        <v>0</v>
      </c>
      <c r="B561">
        <f t="shared" si="86"/>
        <v>7.3349887374707821E-3</v>
      </c>
      <c r="D561" s="48">
        <f t="shared" si="92"/>
        <v>5.7999999999999972</v>
      </c>
      <c r="E561" s="47">
        <f t="shared" si="87"/>
        <v>10.995367304178243</v>
      </c>
      <c r="F561">
        <f t="shared" si="88"/>
        <v>1.0412097417016641</v>
      </c>
      <c r="G561">
        <f t="shared" si="89"/>
        <v>3.3159263116327304</v>
      </c>
      <c r="H561">
        <f t="shared" si="90"/>
        <v>-1.4927110051503205</v>
      </c>
      <c r="I561" s="29">
        <f t="shared" si="91"/>
        <v>7.3349887374707821E-3</v>
      </c>
    </row>
    <row r="562" spans="1:9" x14ac:dyDescent="0.25">
      <c r="A562">
        <f t="shared" si="85"/>
        <v>0</v>
      </c>
      <c r="B562">
        <f t="shared" si="86"/>
        <v>7.9661820664583497E-3</v>
      </c>
      <c r="D562" s="48">
        <f t="shared" si="92"/>
        <v>5.8999999999999968</v>
      </c>
      <c r="E562" s="47">
        <f t="shared" si="87"/>
        <v>11.941544965871344</v>
      </c>
      <c r="F562">
        <f t="shared" si="88"/>
        <v>1.0770605183131661</v>
      </c>
      <c r="G562">
        <f t="shared" si="89"/>
        <v>3.45565405760926</v>
      </c>
      <c r="H562">
        <f t="shared" si="90"/>
        <v>-1.4645466465625787</v>
      </c>
      <c r="I562" s="29">
        <f t="shared" si="91"/>
        <v>7.9661820664583497E-3</v>
      </c>
    </row>
    <row r="563" spans="1:9" x14ac:dyDescent="0.25">
      <c r="A563">
        <f t="shared" si="85"/>
        <v>0</v>
      </c>
      <c r="B563">
        <f t="shared" si="86"/>
        <v>8.6117717462048504E-3</v>
      </c>
      <c r="D563" s="48">
        <f t="shared" si="92"/>
        <v>5.9999999999999964</v>
      </c>
      <c r="E563" s="47">
        <f t="shared" si="87"/>
        <v>12.909303187548893</v>
      </c>
      <c r="F563">
        <f t="shared" si="88"/>
        <v>1.1109028007505659</v>
      </c>
      <c r="G563">
        <f t="shared" si="89"/>
        <v>3.5929518765979727</v>
      </c>
      <c r="H563">
        <f t="shared" si="90"/>
        <v>-1.4363822879748369</v>
      </c>
      <c r="I563" s="29">
        <f t="shared" si="91"/>
        <v>8.6117717462048504E-3</v>
      </c>
    </row>
    <row r="564" spans="1:9" x14ac:dyDescent="0.25">
      <c r="A564">
        <f t="shared" si="85"/>
        <v>0</v>
      </c>
      <c r="B564">
        <f t="shared" si="86"/>
        <v>9.2642944912659699E-3</v>
      </c>
      <c r="D564" s="48">
        <f t="shared" si="92"/>
        <v>6.0999999999999961</v>
      </c>
      <c r="E564" s="47">
        <f t="shared" si="87"/>
        <v>13.887454281309349</v>
      </c>
      <c r="F564">
        <f t="shared" si="88"/>
        <v>1.1426226422165926</v>
      </c>
      <c r="G564">
        <f t="shared" si="89"/>
        <v>3.7265874847250466</v>
      </c>
      <c r="H564">
        <f t="shared" si="90"/>
        <v>-1.4082179293870949</v>
      </c>
      <c r="I564" s="29">
        <f t="shared" si="91"/>
        <v>9.2642944912659699E-3</v>
      </c>
    </row>
    <row r="565" spans="1:9" x14ac:dyDescent="0.25">
      <c r="A565">
        <f t="shared" si="85"/>
        <v>0</v>
      </c>
      <c r="B565">
        <f t="shared" si="86"/>
        <v>9.9163727725049122E-3</v>
      </c>
      <c r="D565" s="48">
        <f t="shared" si="92"/>
        <v>6.1999999999999957</v>
      </c>
      <c r="E565" s="47">
        <f t="shared" si="87"/>
        <v>14.864939110518735</v>
      </c>
      <c r="F565">
        <f t="shared" si="88"/>
        <v>1.1721631345957915</v>
      </c>
      <c r="G565">
        <f t="shared" si="89"/>
        <v>3.8555076333109151</v>
      </c>
      <c r="H565">
        <f t="shared" si="90"/>
        <v>-1.3800535707993531</v>
      </c>
      <c r="I565" s="29">
        <f t="shared" si="91"/>
        <v>9.9163727725049122E-3</v>
      </c>
    </row>
    <row r="566" spans="1:9" x14ac:dyDescent="0.25">
      <c r="A566">
        <f t="shared" si="85"/>
        <v>0</v>
      </c>
      <c r="B566">
        <f t="shared" si="86"/>
        <v>1.0560786757716619E-2</v>
      </c>
      <c r="D566" s="48">
        <f t="shared" si="92"/>
        <v>6.2999999999999954</v>
      </c>
      <c r="E566" s="47">
        <f t="shared" si="87"/>
        <v>15.830934930956113</v>
      </c>
      <c r="F566">
        <f t="shared" si="88"/>
        <v>1.1995065638431079</v>
      </c>
      <c r="G566">
        <f t="shared" si="89"/>
        <v>3.9788107432945479</v>
      </c>
      <c r="H566">
        <f t="shared" si="90"/>
        <v>-1.3518892122116111</v>
      </c>
      <c r="I566" s="29">
        <f t="shared" si="91"/>
        <v>1.0560786757716619E-2</v>
      </c>
    </row>
    <row r="567" spans="1:9" x14ac:dyDescent="0.25">
      <c r="A567">
        <f t="shared" si="85"/>
        <v>0</v>
      </c>
      <c r="B567">
        <f t="shared" si="86"/>
        <v>1.1190543252858835E-2</v>
      </c>
      <c r="D567" s="48">
        <f t="shared" si="92"/>
        <v>6.399999999999995</v>
      </c>
      <c r="E567" s="47">
        <f t="shared" si="87"/>
        <v>16.774958735779055</v>
      </c>
      <c r="F567">
        <f t="shared" si="88"/>
        <v>1.2246614605342936</v>
      </c>
      <c r="G567">
        <f t="shared" si="89"/>
        <v>4.0957244457823396</v>
      </c>
      <c r="H567">
        <f t="shared" si="90"/>
        <v>-1.3237248536238693</v>
      </c>
      <c r="I567" s="29">
        <f t="shared" si="91"/>
        <v>1.1190543252858835E-2</v>
      </c>
    </row>
    <row r="568" spans="1:9" x14ac:dyDescent="0.25">
      <c r="A568">
        <f t="shared" si="85"/>
        <v>0</v>
      </c>
      <c r="B568">
        <f t="shared" si="86"/>
        <v>1.1798941014465318E-2</v>
      </c>
      <c r="D568" s="48">
        <f t="shared" si="92"/>
        <v>6.4999999999999947</v>
      </c>
      <c r="E568" s="47">
        <f t="shared" si="87"/>
        <v>17.686965160782758</v>
      </c>
      <c r="F568">
        <f t="shared" si="88"/>
        <v>1.2476533203605118</v>
      </c>
      <c r="G568">
        <f t="shared" si="89"/>
        <v>4.2055873740516629</v>
      </c>
      <c r="H568">
        <f t="shared" si="90"/>
        <v>-1.2955604950361275</v>
      </c>
      <c r="I568" s="29">
        <f t="shared" si="91"/>
        <v>1.1798941014465318E-2</v>
      </c>
    </row>
    <row r="569" spans="1:9" x14ac:dyDescent="0.25">
      <c r="A569">
        <f t="shared" si="85"/>
        <v>0</v>
      </c>
      <c r="B569">
        <f t="shared" si="86"/>
        <v>1.2379631852536481E-2</v>
      </c>
      <c r="D569" s="48">
        <f t="shared" si="92"/>
        <v>6.5999999999999943</v>
      </c>
      <c r="E569" s="47">
        <f t="shared" si="87"/>
        <v>18.557438079458997</v>
      </c>
      <c r="F569">
        <f t="shared" si="88"/>
        <v>1.2685180201182082</v>
      </c>
      <c r="G569">
        <f t="shared" si="89"/>
        <v>4.3078345000079796</v>
      </c>
      <c r="H569">
        <f t="shared" si="90"/>
        <v>-1.2673961364483854</v>
      </c>
      <c r="I569" s="29">
        <f t="shared" si="91"/>
        <v>1.2379631852536481E-2</v>
      </c>
    </row>
    <row r="570" spans="1:9" x14ac:dyDescent="0.25">
      <c r="A570">
        <f t="shared" si="85"/>
        <v>0</v>
      </c>
      <c r="B570">
        <f t="shared" si="86"/>
        <v>1.2926676996759938E-2</v>
      </c>
      <c r="D570" s="48">
        <f t="shared" si="92"/>
        <v>6.699999999999994</v>
      </c>
      <c r="E570" s="47">
        <f t="shared" si="87"/>
        <v>19.377475097645085</v>
      </c>
      <c r="F570">
        <f t="shared" si="88"/>
        <v>1.2872971874413832</v>
      </c>
      <c r="G570">
        <f t="shared" si="89"/>
        <v>4.4019853586359288</v>
      </c>
      <c r="H570">
        <f t="shared" si="90"/>
        <v>-1.2392317778606436</v>
      </c>
      <c r="I570" s="29">
        <f t="shared" si="91"/>
        <v>1.2926676996759938E-2</v>
      </c>
    </row>
    <row r="571" spans="1:9" x14ac:dyDescent="0.25">
      <c r="A571">
        <f t="shared" si="85"/>
        <v>0</v>
      </c>
      <c r="B571">
        <f t="shared" si="86"/>
        <v>1.3434598256676995E-2</v>
      </c>
      <c r="D571" s="48">
        <f t="shared" si="92"/>
        <v>6.7999999999999936</v>
      </c>
      <c r="E571" s="47">
        <f t="shared" si="87"/>
        <v>20.138864244142226</v>
      </c>
      <c r="F571">
        <f t="shared" si="88"/>
        <v>1.3040349743402235</v>
      </c>
      <c r="G571">
        <f t="shared" si="89"/>
        <v>4.4876345934291741</v>
      </c>
      <c r="H571">
        <f t="shared" si="90"/>
        <v>-1.2110674192729016</v>
      </c>
      <c r="I571" s="29">
        <f t="shared" si="91"/>
        <v>1.3434598256676995E-2</v>
      </c>
    </row>
    <row r="572" spans="1:9" x14ac:dyDescent="0.25">
      <c r="A572">
        <f t="shared" si="85"/>
        <v>0</v>
      </c>
      <c r="B572">
        <f t="shared" si="86"/>
        <v>1.3898423567720737E-2</v>
      </c>
      <c r="D572" s="48">
        <f t="shared" si="92"/>
        <v>6.8999999999999932</v>
      </c>
      <c r="E572" s="47">
        <f t="shared" si="87"/>
        <v>20.834152245587639</v>
      </c>
      <c r="F572">
        <f t="shared" si="88"/>
        <v>1.3187758334444208</v>
      </c>
      <c r="G572">
        <f t="shared" si="89"/>
        <v>4.5644443523377127</v>
      </c>
      <c r="H572">
        <f t="shared" si="90"/>
        <v>-1.1829030606851598</v>
      </c>
      <c r="I572" s="29">
        <f t="shared" si="91"/>
        <v>1.3898423567720737E-2</v>
      </c>
    </row>
    <row r="573" spans="1:9" x14ac:dyDescent="0.25">
      <c r="A573">
        <f t="shared" si="85"/>
        <v>0</v>
      </c>
      <c r="B573">
        <f t="shared" si="86"/>
        <v>1.4313726579223845E-2</v>
      </c>
      <c r="D573" s="48">
        <f t="shared" si="92"/>
        <v>6.9999999999999929</v>
      </c>
      <c r="E573" s="47">
        <f t="shared" si="87"/>
        <v>21.456703870061244</v>
      </c>
      <c r="F573">
        <f t="shared" si="88"/>
        <v>1.3315630074253841</v>
      </c>
      <c r="G573">
        <f t="shared" si="89"/>
        <v>4.632138153170871</v>
      </c>
      <c r="H573">
        <f t="shared" si="90"/>
        <v>-1.154738702097418</v>
      </c>
      <c r="I573" s="29">
        <f t="shared" si="91"/>
        <v>1.4313726579223845E-2</v>
      </c>
    </row>
    <row r="574" spans="1:9" x14ac:dyDescent="0.25">
      <c r="A574">
        <f t="shared" si="85"/>
        <v>0</v>
      </c>
      <c r="B574">
        <f t="shared" si="86"/>
        <v>1.4676660006832517E-2</v>
      </c>
      <c r="D574" s="48">
        <f t="shared" si="92"/>
        <v>7.0999999999999925</v>
      </c>
      <c r="E574" s="47">
        <f t="shared" si="87"/>
        <v>22.000751923350791</v>
      </c>
      <c r="F574">
        <f t="shared" si="88"/>
        <v>1.3424375240304616</v>
      </c>
      <c r="G574">
        <f t="shared" si="89"/>
        <v>4.6904959144370642</v>
      </c>
      <c r="H574">
        <f t="shared" si="90"/>
        <v>-1.126574343509676</v>
      </c>
      <c r="I574" s="29">
        <f t="shared" si="91"/>
        <v>1.4676660006832517E-2</v>
      </c>
    </row>
    <row r="575" spans="1:9" x14ac:dyDescent="0.25">
      <c r="A575">
        <f t="shared" si="85"/>
        <v>0</v>
      </c>
      <c r="B575">
        <f t="shared" si="86"/>
        <v>1.4983982539560263E-2</v>
      </c>
      <c r="D575" s="48">
        <f t="shared" si="92"/>
        <v>7.1999999999999922</v>
      </c>
      <c r="E575" s="47">
        <f t="shared" si="87"/>
        <v>22.461437583429539</v>
      </c>
      <c r="F575">
        <f t="shared" si="88"/>
        <v>1.3514375486561103</v>
      </c>
      <c r="G575">
        <f t="shared" si="89"/>
        <v>4.7393499114783175</v>
      </c>
      <c r="H575">
        <f t="shared" si="90"/>
        <v>-1.0984099849219342</v>
      </c>
      <c r="I575" s="29">
        <f t="shared" si="91"/>
        <v>1.4983982539560263E-2</v>
      </c>
    </row>
    <row r="576" spans="1:9" x14ac:dyDescent="0.25">
      <c r="A576">
        <f t="shared" si="85"/>
        <v>0</v>
      </c>
      <c r="B576">
        <f t="shared" si="86"/>
        <v>1.5233079160266401E-2</v>
      </c>
      <c r="D576" s="48">
        <f t="shared" si="92"/>
        <v>7.2999999999999918</v>
      </c>
      <c r="E576" s="47">
        <f t="shared" si="87"/>
        <v>22.834840861460744</v>
      </c>
      <c r="F576">
        <f t="shared" si="88"/>
        <v>1.3585979893071409</v>
      </c>
      <c r="G576">
        <f t="shared" si="89"/>
        <v>4.7785814695849584</v>
      </c>
      <c r="H576">
        <f t="shared" si="90"/>
        <v>-1.0702456263341922</v>
      </c>
      <c r="I576" s="29">
        <f t="shared" si="91"/>
        <v>1.5233079160266401E-2</v>
      </c>
    </row>
    <row r="577" spans="1:10" x14ac:dyDescent="0.25">
      <c r="A577">
        <f t="shared" si="85"/>
        <v>0</v>
      </c>
      <c r="B577">
        <f t="shared" si="86"/>
        <v>1.542197480694861E-2</v>
      </c>
      <c r="D577" s="48">
        <f t="shared" si="92"/>
        <v>7.3999999999999915</v>
      </c>
      <c r="E577" s="47">
        <f t="shared" si="87"/>
        <v>23.118001080483431</v>
      </c>
      <c r="F577">
        <f t="shared" si="88"/>
        <v>1.3639502796945935</v>
      </c>
      <c r="G577">
        <f t="shared" si="89"/>
        <v>4.8081182473482729</v>
      </c>
      <c r="H577">
        <f t="shared" si="90"/>
        <v>-1.0420812677464504</v>
      </c>
      <c r="I577" s="29">
        <f t="shared" si="91"/>
        <v>1.542197480694861E-2</v>
      </c>
    </row>
    <row r="578" spans="1:10" x14ac:dyDescent="0.25">
      <c r="A578">
        <f t="shared" si="85"/>
        <v>0</v>
      </c>
      <c r="B578">
        <f t="shared" si="86"/>
        <v>1.5549341370210237E-2</v>
      </c>
      <c r="D578" s="48">
        <f t="shared" si="92"/>
        <v>7.4999999999999911</v>
      </c>
      <c r="E578" s="47">
        <f t="shared" si="87"/>
        <v>23.308927364824985</v>
      </c>
      <c r="F578">
        <f t="shared" si="88"/>
        <v>1.3675222885246097</v>
      </c>
      <c r="G578">
        <f t="shared" si="89"/>
        <v>4.8279319967067664</v>
      </c>
      <c r="H578">
        <f t="shared" si="90"/>
        <v>-1.0139169091587086</v>
      </c>
      <c r="I578" s="29">
        <f t="shared" si="91"/>
        <v>1.5549341370210237E-2</v>
      </c>
    </row>
    <row r="579" spans="1:10" x14ac:dyDescent="0.25">
      <c r="A579">
        <f t="shared" si="85"/>
        <v>0</v>
      </c>
      <c r="B579">
        <f t="shared" si="86"/>
        <v>1.5614498088935126E-2</v>
      </c>
      <c r="D579" s="48">
        <f t="shared" si="92"/>
        <v>7.5999999999999908</v>
      </c>
      <c r="E579" s="47">
        <f t="shared" si="87"/>
        <v>23.406599233229546</v>
      </c>
      <c r="F579">
        <f t="shared" si="88"/>
        <v>1.3693383192271653</v>
      </c>
      <c r="G579">
        <f t="shared" si="89"/>
        <v>4.8380367126789707</v>
      </c>
      <c r="H579">
        <f t="shared" si="90"/>
        <v>-0.98575255057096667</v>
      </c>
      <c r="I579" s="29">
        <f t="shared" si="91"/>
        <v>1.5614498088935126E-2</v>
      </c>
    </row>
    <row r="580" spans="1:10" x14ac:dyDescent="0.25">
      <c r="A580">
        <f t="shared" si="85"/>
        <v>0</v>
      </c>
      <c r="B580">
        <f t="shared" si="86"/>
        <v>1.5617405470934563E-2</v>
      </c>
      <c r="D580" s="48">
        <f t="shared" si="92"/>
        <v>7.6999999999999904</v>
      </c>
      <c r="E580" s="47">
        <f t="shared" si="87"/>
        <v>23.410957485726112</v>
      </c>
      <c r="F580">
        <f t="shared" si="88"/>
        <v>1.3694191762879826</v>
      </c>
      <c r="G580">
        <f t="shared" si="89"/>
        <v>4.8384871071158297</v>
      </c>
      <c r="H580">
        <f t="shared" si="90"/>
        <v>-0.95758819198322476</v>
      </c>
      <c r="I580" s="29">
        <f t="shared" si="91"/>
        <v>1.5617405470934563E-2</v>
      </c>
    </row>
    <row r="581" spans="1:10" x14ac:dyDescent="0.25">
      <c r="A581">
        <f t="shared" si="85"/>
        <v>0</v>
      </c>
      <c r="B581">
        <f t="shared" si="86"/>
        <v>1.5558652927514582E-2</v>
      </c>
      <c r="D581" s="48">
        <f t="shared" si="92"/>
        <v>7.7999999999999901</v>
      </c>
      <c r="E581" s="47">
        <f t="shared" si="87"/>
        <v>23.322885667475422</v>
      </c>
      <c r="F581">
        <f t="shared" si="88"/>
        <v>1.3677822833051974</v>
      </c>
      <c r="G581">
        <f t="shared" si="89"/>
        <v>4.8293773581565791</v>
      </c>
      <c r="H581">
        <f t="shared" si="90"/>
        <v>-0.92942383339548285</v>
      </c>
      <c r="I581" s="29">
        <f t="shared" si="91"/>
        <v>1.5558652927514582E-2</v>
      </c>
    </row>
    <row r="582" spans="1:10" x14ac:dyDescent="0.25">
      <c r="A582">
        <f t="shared" si="85"/>
        <v>0</v>
      </c>
      <c r="B582">
        <f t="shared" si="86"/>
        <v>1.543944036997642E-2</v>
      </c>
      <c r="D582" s="48">
        <f t="shared" si="92"/>
        <v>7.8999999999999897</v>
      </c>
      <c r="E582" s="47">
        <f t="shared" si="87"/>
        <v>23.144182481374205</v>
      </c>
      <c r="F582">
        <f t="shared" si="88"/>
        <v>1.3644418448682984</v>
      </c>
      <c r="G582">
        <f t="shared" si="89"/>
        <v>4.8108401014141187</v>
      </c>
      <c r="H582">
        <f t="shared" si="90"/>
        <v>-0.90125947480774093</v>
      </c>
      <c r="I582" s="29">
        <f t="shared" si="91"/>
        <v>1.543944036997642E-2</v>
      </c>
    </row>
    <row r="583" spans="1:10" x14ac:dyDescent="0.25">
      <c r="A583">
        <f t="shared" si="85"/>
        <v>0</v>
      </c>
      <c r="B583">
        <f t="shared" si="86"/>
        <v>1.5261554071479689E-2</v>
      </c>
      <c r="D583" s="48">
        <f t="shared" si="92"/>
        <v>7.9999999999999893</v>
      </c>
      <c r="E583" s="47">
        <f t="shared" si="87"/>
        <v>22.877525604266758</v>
      </c>
      <c r="F583">
        <f t="shared" si="88"/>
        <v>1.3594090500805462</v>
      </c>
      <c r="G583">
        <f t="shared" si="89"/>
        <v>4.7830456410394788</v>
      </c>
      <c r="H583">
        <f t="shared" si="90"/>
        <v>-0.87309511621999902</v>
      </c>
      <c r="I583" s="29">
        <f t="shared" si="91"/>
        <v>1.5261554071479689E-2</v>
      </c>
    </row>
    <row r="584" spans="1:10" x14ac:dyDescent="0.25">
      <c r="A584">
        <f t="shared" si="85"/>
        <v>0</v>
      </c>
      <c r="B584">
        <f t="shared" si="86"/>
        <v>1.5027337148986046E-2</v>
      </c>
      <c r="D584" s="48">
        <f t="shared" si="92"/>
        <v>8.099999999999989</v>
      </c>
      <c r="E584" s="47">
        <f t="shared" si="87"/>
        <v>22.526427438496452</v>
      </c>
      <c r="F584">
        <f t="shared" si="88"/>
        <v>1.3526923205842971</v>
      </c>
      <c r="G584">
        <f t="shared" si="89"/>
        <v>4.7462013693580731</v>
      </c>
      <c r="H584">
        <f t="shared" si="90"/>
        <v>-0.84493075763225722</v>
      </c>
      <c r="I584" s="29">
        <f t="shared" si="91"/>
        <v>1.5027337148986046E-2</v>
      </c>
    </row>
    <row r="585" spans="1:10" x14ac:dyDescent="0.25">
      <c r="A585">
        <f t="shared" si="85"/>
        <v>0</v>
      </c>
      <c r="B585">
        <f t="shared" si="86"/>
        <v>1.4739655066729239E-2</v>
      </c>
      <c r="D585" s="48">
        <f t="shared" si="92"/>
        <v>8.1999999999999886</v>
      </c>
      <c r="E585" s="47">
        <f t="shared" si="87"/>
        <v>22.095183400576481</v>
      </c>
      <c r="F585">
        <f t="shared" si="88"/>
        <v>1.3442976107649234</v>
      </c>
      <c r="G585">
        <f t="shared" si="89"/>
        <v>4.7005513932491452</v>
      </c>
      <c r="H585">
        <f t="shared" si="90"/>
        <v>-0.81676639904451531</v>
      </c>
      <c r="I585" s="29">
        <f t="shared" si="91"/>
        <v>1.4739655066729239E-2</v>
      </c>
    </row>
    <row r="586" spans="1:10" x14ac:dyDescent="0.25">
      <c r="A586">
        <f t="shared" si="85"/>
        <v>0</v>
      </c>
      <c r="B586">
        <f t="shared" si="86"/>
        <v>1.4401856604449745E-2</v>
      </c>
      <c r="D586" s="48">
        <f t="shared" si="92"/>
        <v>8.2999999999999883</v>
      </c>
      <c r="E586" s="47">
        <f t="shared" si="87"/>
        <v>21.588813411407234</v>
      </c>
      <c r="F586">
        <f t="shared" si="88"/>
        <v>1.3342287728094548</v>
      </c>
      <c r="G586">
        <f t="shared" si="89"/>
        <v>4.6463763742735296</v>
      </c>
      <c r="H586">
        <f t="shared" si="90"/>
        <v>-0.7886020404567734</v>
      </c>
      <c r="I586" s="29">
        <f t="shared" si="91"/>
        <v>1.4401856604449745E-2</v>
      </c>
    </row>
    <row r="587" spans="1:10" x14ac:dyDescent="0.25">
      <c r="A587">
        <f t="shared" si="85"/>
        <v>-1.3263447939576132</v>
      </c>
      <c r="B587">
        <f t="shared" si="86"/>
        <v>1.4017730770168059E-2</v>
      </c>
      <c r="D587" s="48">
        <f t="shared" si="92"/>
        <v>8.3999999999999879</v>
      </c>
      <c r="E587" s="47">
        <f t="shared" si="87"/>
        <v>21.012997307235899</v>
      </c>
      <c r="F587">
        <f t="shared" si="88"/>
        <v>1.3224880048643082</v>
      </c>
      <c r="G587">
        <f t="shared" si="89"/>
        <v>4.5839935980797248</v>
      </c>
      <c r="H587">
        <f t="shared" si="90"/>
        <v>-0.76043768186903149</v>
      </c>
      <c r="I587" s="29">
        <f t="shared" si="91"/>
        <v>1.4017730770168059E-2</v>
      </c>
      <c r="J587">
        <f t="shared" ref="J587:J617" si="93">(H587+1.72)*6/3.44-3</f>
        <v>-1.3263447939576132</v>
      </c>
    </row>
    <row r="588" spans="1:10" x14ac:dyDescent="0.25">
      <c r="A588">
        <f t="shared" si="85"/>
        <v>-1.2772209126999237</v>
      </c>
      <c r="B588">
        <f t="shared" si="86"/>
        <v>1.3591460168289899E-2</v>
      </c>
      <c r="D588" s="48">
        <f t="shared" si="92"/>
        <v>8.4999999999999876</v>
      </c>
      <c r="E588" s="47">
        <f t="shared" si="87"/>
        <v>20.374004937052703</v>
      </c>
      <c r="F588">
        <f t="shared" si="88"/>
        <v>1.309076407061091</v>
      </c>
      <c r="G588">
        <f t="shared" si="89"/>
        <v>4.513757297092158</v>
      </c>
      <c r="H588">
        <f t="shared" si="90"/>
        <v>-0.73227332328128958</v>
      </c>
      <c r="I588" s="29">
        <f t="shared" si="91"/>
        <v>1.3591460168289899E-2</v>
      </c>
      <c r="J588">
        <f t="shared" si="93"/>
        <v>-1.2772209126999237</v>
      </c>
    </row>
    <row r="589" spans="1:10" x14ac:dyDescent="0.25">
      <c r="A589">
        <f t="shared" si="85"/>
        <v>-1.2280970314422344</v>
      </c>
      <c r="B589">
        <f t="shared" si="86"/>
        <v>1.3127571359137868E-2</v>
      </c>
      <c r="D589" s="48">
        <f t="shared" si="92"/>
        <v>8.5999999999999872</v>
      </c>
      <c r="E589" s="47">
        <f t="shared" si="87"/>
        <v>19.678621750045494</v>
      </c>
      <c r="F589">
        <f t="shared" si="88"/>
        <v>1.2939946780734422</v>
      </c>
      <c r="G589">
        <f t="shared" si="89"/>
        <v>4.4360592590773056</v>
      </c>
      <c r="H589">
        <f t="shared" si="90"/>
        <v>-0.70410896469354778</v>
      </c>
      <c r="I589" s="29">
        <f t="shared" si="91"/>
        <v>1.3127571359137868E-2</v>
      </c>
      <c r="J589">
        <f t="shared" si="93"/>
        <v>-1.2280970314422344</v>
      </c>
    </row>
    <row r="590" spans="1:10" x14ac:dyDescent="0.25">
      <c r="A590">
        <f t="shared" si="85"/>
        <v>-1.1789731501845451</v>
      </c>
      <c r="B590">
        <f t="shared" si="86"/>
        <v>1.2630882765448263E-2</v>
      </c>
      <c r="D590" s="48">
        <f t="shared" si="92"/>
        <v>8.6999999999999869</v>
      </c>
      <c r="E590" s="47">
        <f t="shared" si="87"/>
        <v>18.93407070588178</v>
      </c>
      <c r="F590">
        <f t="shared" si="88"/>
        <v>1.2772439945790217</v>
      </c>
      <c r="G590">
        <f t="shared" si="89"/>
        <v>4.3513297629439416</v>
      </c>
      <c r="H590">
        <f t="shared" si="90"/>
        <v>-0.67594460610580587</v>
      </c>
      <c r="I590" s="29">
        <f t="shared" si="91"/>
        <v>1.2630882765448263E-2</v>
      </c>
      <c r="J590">
        <f t="shared" si="93"/>
        <v>-1.1789731501845451</v>
      </c>
    </row>
    <row r="591" spans="1:10" x14ac:dyDescent="0.25">
      <c r="A591">
        <f t="shared" si="85"/>
        <v>-1.129849268926856</v>
      </c>
      <c r="B591">
        <f t="shared" si="86"/>
        <v>1.2106450694880229E-2</v>
      </c>
      <c r="D591" s="48">
        <f t="shared" si="92"/>
        <v>8.7999999999999865</v>
      </c>
      <c r="E591" s="47">
        <f t="shared" si="87"/>
        <v>18.147931360836981</v>
      </c>
      <c r="F591">
        <f t="shared" si="88"/>
        <v>1.2588271280071313</v>
      </c>
      <c r="G591">
        <f t="shared" si="89"/>
        <v>4.2600388919394838</v>
      </c>
      <c r="H591">
        <f t="shared" si="90"/>
        <v>-0.64778024751806396</v>
      </c>
      <c r="I591" s="29">
        <f t="shared" si="91"/>
        <v>1.2106450694880229E-2</v>
      </c>
      <c r="J591">
        <f t="shared" si="93"/>
        <v>-1.129849268926856</v>
      </c>
    </row>
    <row r="592" spans="1:10" x14ac:dyDescent="0.25">
      <c r="A592">
        <f t="shared" si="85"/>
        <v>-1.0807253876691665</v>
      </c>
      <c r="B592">
        <f t="shared" si="86"/>
        <v>1.1559514055140106E-2</v>
      </c>
      <c r="D592" s="48">
        <f t="shared" si="92"/>
        <v>8.8999999999999861</v>
      </c>
      <c r="E592" s="47">
        <f t="shared" si="87"/>
        <v>17.32805699411378</v>
      </c>
      <c r="F592">
        <f t="shared" si="88"/>
        <v>1.238749867731638</v>
      </c>
      <c r="G592">
        <f t="shared" si="89"/>
        <v>4.1626982828585808</v>
      </c>
      <c r="H592">
        <f t="shared" si="90"/>
        <v>-0.61961588893032205</v>
      </c>
      <c r="I592" s="29">
        <f t="shared" si="91"/>
        <v>1.1559514055140106E-2</v>
      </c>
      <c r="J592">
        <f t="shared" si="93"/>
        <v>-1.0807253876691665</v>
      </c>
    </row>
    <row r="593" spans="1:10" x14ac:dyDescent="0.25">
      <c r="A593">
        <f t="shared" si="85"/>
        <v>-1.0316015064114767</v>
      </c>
      <c r="B593">
        <f t="shared" si="86"/>
        <v>1.0995438339968654E-2</v>
      </c>
      <c r="D593" s="48">
        <f t="shared" si="92"/>
        <v>8.9999999999999858</v>
      </c>
      <c r="E593" s="47">
        <f t="shared" si="87"/>
        <v>16.482490641163146</v>
      </c>
      <c r="F593">
        <f t="shared" si="88"/>
        <v>1.2170228378213306</v>
      </c>
      <c r="G593">
        <f t="shared" si="89"/>
        <v>4.0598633771548451</v>
      </c>
      <c r="H593">
        <f t="shared" si="90"/>
        <v>-0.59145153034258013</v>
      </c>
      <c r="I593" s="29">
        <f t="shared" si="91"/>
        <v>1.0995438339968654E-2</v>
      </c>
      <c r="J593">
        <f t="shared" si="93"/>
        <v>-1.0316015064114767</v>
      </c>
    </row>
    <row r="594" spans="1:10" x14ac:dyDescent="0.25">
      <c r="A594">
        <f t="shared" si="85"/>
        <v>-0.98247762515378811</v>
      </c>
      <c r="B594">
        <f t="shared" si="86"/>
        <v>1.0419659460074018E-2</v>
      </c>
      <c r="D594" s="48">
        <f t="shared" si="92"/>
        <v>9.0999999999999854</v>
      </c>
      <c r="E594" s="47">
        <f t="shared" si="87"/>
        <v>15.61938089457438</v>
      </c>
      <c r="F594">
        <f t="shared" si="88"/>
        <v>1.1936638157513537</v>
      </c>
      <c r="G594">
        <f t="shared" si="89"/>
        <v>3.9521362444346955</v>
      </c>
      <c r="H594">
        <f t="shared" si="90"/>
        <v>-0.56328717175483833</v>
      </c>
      <c r="I594" s="29">
        <f t="shared" si="91"/>
        <v>1.0419659460074018E-2</v>
      </c>
      <c r="J594">
        <f t="shared" si="93"/>
        <v>-0.98247762515378811</v>
      </c>
    </row>
    <row r="595" spans="1:10" x14ac:dyDescent="0.25">
      <c r="A595">
        <f t="shared" si="85"/>
        <v>-0.93335374389609838</v>
      </c>
      <c r="B595">
        <f t="shared" si="86"/>
        <v>9.8376279832747115E-3</v>
      </c>
      <c r="D595" s="48">
        <f t="shared" si="92"/>
        <v>9.1999999999999851</v>
      </c>
      <c r="E595" s="47">
        <f t="shared" si="87"/>
        <v>14.746898318383218</v>
      </c>
      <c r="F595">
        <f t="shared" si="88"/>
        <v>1.1687006857473257</v>
      </c>
      <c r="G595">
        <f t="shared" si="89"/>
        <v>3.8401690481518154</v>
      </c>
      <c r="H595">
        <f t="shared" si="90"/>
        <v>-0.53512281316709642</v>
      </c>
      <c r="I595" s="29">
        <f t="shared" si="91"/>
        <v>9.8376279832747115E-3</v>
      </c>
      <c r="J595">
        <f t="shared" si="93"/>
        <v>-0.93335374389609838</v>
      </c>
    </row>
    <row r="596" spans="1:10" x14ac:dyDescent="0.25">
      <c r="A596">
        <f t="shared" si="85"/>
        <v>-0.88422986263840864</v>
      </c>
      <c r="B596">
        <f t="shared" si="86"/>
        <v>9.2547543328554121E-3</v>
      </c>
      <c r="D596" s="48">
        <f t="shared" si="92"/>
        <v>9.2999999999999847</v>
      </c>
      <c r="E596" s="47">
        <f t="shared" si="87"/>
        <v>13.873153298769557</v>
      </c>
      <c r="F596">
        <f t="shared" si="88"/>
        <v>1.1421751852699586</v>
      </c>
      <c r="G596">
        <f t="shared" si="89"/>
        <v>3.7246682132465914</v>
      </c>
      <c r="H596">
        <f t="shared" si="90"/>
        <v>-0.50695845457935451</v>
      </c>
      <c r="I596" s="29">
        <f t="shared" si="91"/>
        <v>9.2547543328554121E-3</v>
      </c>
      <c r="J596">
        <f t="shared" si="93"/>
        <v>-0.88422986263840864</v>
      </c>
    </row>
    <row r="597" spans="1:10" x14ac:dyDescent="0.25">
      <c r="A597">
        <f t="shared" si="85"/>
        <v>-0.83510598138071934</v>
      </c>
      <c r="B597">
        <f t="shared" si="86"/>
        <v>8.6763554726936448E-3</v>
      </c>
      <c r="D597" s="48">
        <f t="shared" si="92"/>
        <v>9.3999999999999844</v>
      </c>
      <c r="E597" s="47">
        <f t="shared" si="87"/>
        <v>13.006116123469193</v>
      </c>
      <c r="F597">
        <f t="shared" si="88"/>
        <v>1.1141476272327557</v>
      </c>
      <c r="G597">
        <f t="shared" si="89"/>
        <v>3.6063993294516337</v>
      </c>
      <c r="H597">
        <f t="shared" si="90"/>
        <v>-0.4787940959916126</v>
      </c>
      <c r="I597" s="29">
        <f t="shared" si="91"/>
        <v>8.6763554726936448E-3</v>
      </c>
      <c r="J597">
        <f t="shared" si="93"/>
        <v>-0.83510598138071934</v>
      </c>
    </row>
    <row r="598" spans="1:10" x14ac:dyDescent="0.25">
      <c r="A598">
        <f t="shared" si="85"/>
        <v>-0.78598210012303049</v>
      </c>
      <c r="B598">
        <f t="shared" si="86"/>
        <v>8.1076035823945455E-3</v>
      </c>
      <c r="D598" s="48">
        <f t="shared" si="92"/>
        <v>9.499999999999984</v>
      </c>
      <c r="E598" s="47">
        <f t="shared" si="87"/>
        <v>12.153540044267107</v>
      </c>
      <c r="F598">
        <f t="shared" si="88"/>
        <v>1.0847027962686124</v>
      </c>
      <c r="G598">
        <f t="shared" si="89"/>
        <v>3.4861927721035606</v>
      </c>
      <c r="H598">
        <f t="shared" si="90"/>
        <v>-0.45062973740387074</v>
      </c>
      <c r="I598" s="29">
        <f t="shared" si="91"/>
        <v>8.1076035823945455E-3</v>
      </c>
      <c r="J598">
        <f t="shared" si="93"/>
        <v>-0.78598210012303049</v>
      </c>
    </row>
    <row r="599" spans="1:10" x14ac:dyDescent="0.25">
      <c r="A599">
        <f t="shared" si="85"/>
        <v>-0.73685821886534075</v>
      </c>
      <c r="B599">
        <f t="shared" si="86"/>
        <v>7.5534771958236224E-3</v>
      </c>
      <c r="D599" s="48">
        <f t="shared" si="92"/>
        <v>9.5999999999999837</v>
      </c>
      <c r="E599" s="47">
        <f t="shared" si="87"/>
        <v>11.322888032197998</v>
      </c>
      <c r="F599">
        <f t="shared" si="88"/>
        <v>1.0539572127601429</v>
      </c>
      <c r="G599">
        <f t="shared" si="89"/>
        <v>3.3649499301175343</v>
      </c>
      <c r="H599">
        <f t="shared" si="90"/>
        <v>-0.42246537881612883</v>
      </c>
      <c r="I599" s="29">
        <f t="shared" si="91"/>
        <v>7.5534771958236224E-3</v>
      </c>
      <c r="J599">
        <f t="shared" si="93"/>
        <v>-0.73685821886534075</v>
      </c>
    </row>
    <row r="600" spans="1:10" x14ac:dyDescent="0.25">
      <c r="A600">
        <f t="shared" si="85"/>
        <v>-0.6877343376076519</v>
      </c>
      <c r="B600">
        <f t="shared" si="86"/>
        <v>7.0187152424411991E-3</v>
      </c>
      <c r="D600" s="48">
        <f t="shared" si="92"/>
        <v>9.6999999999999833</v>
      </c>
      <c r="E600" s="47">
        <f t="shared" si="87"/>
        <v>10.521263884133244</v>
      </c>
      <c r="F600">
        <f t="shared" si="88"/>
        <v>1.0220679132906176</v>
      </c>
      <c r="G600">
        <f t="shared" si="89"/>
        <v>3.2436497782795919</v>
      </c>
      <c r="H600">
        <f t="shared" si="90"/>
        <v>-0.39430102022838692</v>
      </c>
      <c r="I600" s="29">
        <f t="shared" si="91"/>
        <v>7.0187152424411991E-3</v>
      </c>
      <c r="J600">
        <f t="shared" si="93"/>
        <v>-0.6877343376076519</v>
      </c>
    </row>
    <row r="601" spans="1:10" x14ac:dyDescent="0.25">
      <c r="A601">
        <f t="shared" si="85"/>
        <v>-0.63861045634996261</v>
      </c>
      <c r="B601">
        <f t="shared" si="86"/>
        <v>6.5077743931389155E-3</v>
      </c>
      <c r="D601" s="48">
        <f t="shared" si="92"/>
        <v>9.7999999999999829</v>
      </c>
      <c r="E601" s="47">
        <f t="shared" si="87"/>
        <v>9.7553482829152163</v>
      </c>
      <c r="F601">
        <f t="shared" si="88"/>
        <v>0.98924277907631974</v>
      </c>
      <c r="G601">
        <f t="shared" si="89"/>
        <v>3.1233552924563699</v>
      </c>
      <c r="H601">
        <f t="shared" si="90"/>
        <v>-0.36613666164064507</v>
      </c>
      <c r="I601" s="29">
        <f t="shared" si="91"/>
        <v>6.5077743931389155E-3</v>
      </c>
      <c r="J601">
        <f t="shared" si="93"/>
        <v>-0.63861045634996261</v>
      </c>
    </row>
    <row r="602" spans="1:10" x14ac:dyDescent="0.25">
      <c r="A602">
        <f t="shared" si="85"/>
        <v>-0.58948657509227287</v>
      </c>
      <c r="B602">
        <f t="shared" si="86"/>
        <v>6.0247900713083571E-3</v>
      </c>
      <c r="D602" s="48">
        <f t="shared" si="92"/>
        <v>9.8999999999999826</v>
      </c>
      <c r="E602" s="47">
        <f t="shared" si="87"/>
        <v>9.0313403517840776</v>
      </c>
      <c r="F602">
        <f t="shared" si="88"/>
        <v>0.95575220924881898</v>
      </c>
      <c r="G602">
        <f t="shared" si="89"/>
        <v>3.0052188525603385</v>
      </c>
      <c r="H602">
        <f t="shared" si="90"/>
        <v>-0.33797230305290316</v>
      </c>
      <c r="I602" s="29">
        <f t="shared" si="91"/>
        <v>6.0247900713083571E-3</v>
      </c>
      <c r="J602">
        <f t="shared" si="93"/>
        <v>-0.58948657509227287</v>
      </c>
    </row>
    <row r="603" spans="1:10" x14ac:dyDescent="0.25">
      <c r="A603">
        <f t="shared" si="85"/>
        <v>-0.54036269383458357</v>
      </c>
      <c r="B603">
        <f t="shared" si="86"/>
        <v>5.5735414461087649E-3</v>
      </c>
      <c r="D603" s="48">
        <f t="shared" si="92"/>
        <v>9.9999999999999822</v>
      </c>
      <c r="E603" s="47">
        <f t="shared" si="87"/>
        <v>8.3549051782399903</v>
      </c>
      <c r="F603">
        <f t="shared" si="88"/>
        <v>0.92194152534840246</v>
      </c>
      <c r="G603">
        <f t="shared" si="89"/>
        <v>2.8904852842109388</v>
      </c>
      <c r="H603">
        <f t="shared" si="90"/>
        <v>-0.3098079444651613</v>
      </c>
      <c r="I603" s="29">
        <f t="shared" si="91"/>
        <v>5.5735414461087649E-3</v>
      </c>
      <c r="J603">
        <f t="shared" si="93"/>
        <v>-0.54036269383458357</v>
      </c>
    </row>
    <row r="604" spans="1:10" x14ac:dyDescent="0.25">
      <c r="A604">
        <f t="shared" si="85"/>
        <v>-0.49123881257689428</v>
      </c>
      <c r="B604">
        <f t="shared" si="86"/>
        <v>5.1574206788372401E-3</v>
      </c>
      <c r="D604" s="48">
        <f t="shared" si="92"/>
        <v>10.099999999999982</v>
      </c>
      <c r="E604" s="47">
        <f t="shared" si="87"/>
        <v>7.7311277134330627</v>
      </c>
      <c r="F604">
        <f t="shared" si="88"/>
        <v>0.888242847605209</v>
      </c>
      <c r="G604">
        <f t="shared" si="89"/>
        <v>2.7804905526602788</v>
      </c>
      <c r="H604">
        <f t="shared" si="90"/>
        <v>-0.28164358587741939</v>
      </c>
      <c r="I604" s="29">
        <f t="shared" si="91"/>
        <v>5.1574206788372401E-3</v>
      </c>
      <c r="J604">
        <f t="shared" si="93"/>
        <v>-0.49123881257689428</v>
      </c>
    </row>
    <row r="605" spans="1:10" x14ac:dyDescent="0.25">
      <c r="A605">
        <f t="shared" si="85"/>
        <v>-0.44211493131920498</v>
      </c>
      <c r="B605">
        <f t="shared" si="86"/>
        <v>4.7794066454468469E-3</v>
      </c>
      <c r="D605" s="48">
        <f t="shared" si="92"/>
        <v>10.199999999999982</v>
      </c>
      <c r="E605" s="47">
        <f t="shared" si="87"/>
        <v>7.1644733814327566</v>
      </c>
      <c r="F605">
        <f t="shared" si="88"/>
        <v>0.85518427345728609</v>
      </c>
      <c r="G605">
        <f t="shared" si="89"/>
        <v>2.6766533920985656</v>
      </c>
      <c r="H605">
        <f t="shared" si="90"/>
        <v>-0.25347922728967748</v>
      </c>
      <c r="I605" s="29">
        <f t="shared" si="91"/>
        <v>4.7794066454468469E-3</v>
      </c>
      <c r="J605">
        <f t="shared" si="93"/>
        <v>-0.44211493131920498</v>
      </c>
    </row>
    <row r="606" spans="1:10" x14ac:dyDescent="0.25">
      <c r="A606">
        <f t="shared" si="85"/>
        <v>-0.39299105006151525</v>
      </c>
      <c r="B606">
        <f t="shared" si="86"/>
        <v>4.4420433091191336E-3</v>
      </c>
      <c r="D606" s="48">
        <f t="shared" si="92"/>
        <v>10.299999999999981</v>
      </c>
      <c r="E606" s="47">
        <f t="shared" si="87"/>
        <v>6.6587556590678147</v>
      </c>
      <c r="F606">
        <f t="shared" si="88"/>
        <v>0.82339307888631652</v>
      </c>
      <c r="G606">
        <f t="shared" si="89"/>
        <v>2.5804564826921252</v>
      </c>
      <c r="H606">
        <f t="shared" si="90"/>
        <v>-0.22531486870193562</v>
      </c>
      <c r="I606" s="29">
        <f t="shared" si="91"/>
        <v>4.4420433091191336E-3</v>
      </c>
      <c r="J606">
        <f t="shared" si="93"/>
        <v>-0.39299105006151525</v>
      </c>
    </row>
    <row r="607" spans="1:10" x14ac:dyDescent="0.25">
      <c r="A607">
        <f t="shared" si="85"/>
        <v>-0.3438671688038264</v>
      </c>
      <c r="B607">
        <f t="shared" si="86"/>
        <v>4.1474228668941845E-3</v>
      </c>
      <c r="D607" s="48">
        <f t="shared" si="92"/>
        <v>10.399999999999981</v>
      </c>
      <c r="E607" s="47">
        <f t="shared" si="87"/>
        <v>6.2171108122210894</v>
      </c>
      <c r="F607">
        <f t="shared" si="88"/>
        <v>0.79358860819287169</v>
      </c>
      <c r="G607">
        <f t="shared" si="89"/>
        <v>2.4934134860109123</v>
      </c>
      <c r="H607">
        <f t="shared" si="90"/>
        <v>-0.19715051011419371</v>
      </c>
      <c r="I607" s="29">
        <f t="shared" si="91"/>
        <v>4.1474228668941845E-3</v>
      </c>
      <c r="J607">
        <f t="shared" si="93"/>
        <v>-0.3438671688038264</v>
      </c>
    </row>
    <row r="608" spans="1:10" x14ac:dyDescent="0.25">
      <c r="A608">
        <f t="shared" si="85"/>
        <v>-0.2947432875461371</v>
      </c>
      <c r="B608">
        <f t="shared" si="86"/>
        <v>3.8971737442070526E-3</v>
      </c>
      <c r="D608" s="48">
        <f t="shared" si="92"/>
        <v>10.49999999999998</v>
      </c>
      <c r="E608" s="47">
        <f t="shared" si="87"/>
        <v>5.8419798992809051</v>
      </c>
      <c r="F608">
        <f t="shared" si="88"/>
        <v>0.76656005834680796</v>
      </c>
      <c r="G608">
        <f t="shared" si="89"/>
        <v>2.4170188040809499</v>
      </c>
      <c r="H608">
        <f t="shared" si="90"/>
        <v>-0.16898615152645183</v>
      </c>
      <c r="I608" s="29">
        <f t="shared" si="91"/>
        <v>3.8971737442070526E-3</v>
      </c>
      <c r="J608">
        <f t="shared" si="93"/>
        <v>-0.2947432875461371</v>
      </c>
    </row>
    <row r="609" spans="1:10" x14ac:dyDescent="0.25">
      <c r="A609">
        <f t="shared" si="85"/>
        <v>-0.24561940628844736</v>
      </c>
      <c r="B609">
        <f t="shared" si="86"/>
        <v>3.6924534612805572E-3</v>
      </c>
      <c r="D609" s="48">
        <f t="shared" si="92"/>
        <v>10.59999999999998</v>
      </c>
      <c r="E609" s="47">
        <f t="shared" si="87"/>
        <v>5.5350980776506953</v>
      </c>
      <c r="F609">
        <f t="shared" si="88"/>
        <v>0.74312532064475445</v>
      </c>
      <c r="G609">
        <f t="shared" si="89"/>
        <v>2.3526789151201011</v>
      </c>
      <c r="H609">
        <f t="shared" si="90"/>
        <v>-0.14082179293870994</v>
      </c>
      <c r="I609" s="29">
        <f t="shared" si="91"/>
        <v>3.6924534612805572E-3</v>
      </c>
      <c r="J609">
        <f t="shared" si="93"/>
        <v>-0.24561940628844736</v>
      </c>
    </row>
    <row r="610" spans="1:10" x14ac:dyDescent="0.25">
      <c r="A610">
        <f t="shared" si="85"/>
        <v>-0.19649552503075807</v>
      </c>
      <c r="B610">
        <f t="shared" si="86"/>
        <v>3.5339463461742265E-3</v>
      </c>
      <c r="D610" s="48">
        <f t="shared" si="92"/>
        <v>10.69999999999998</v>
      </c>
      <c r="E610" s="47">
        <f t="shared" si="87"/>
        <v>5.2974911755410234</v>
      </c>
      <c r="F610">
        <f t="shared" si="88"/>
        <v>0.72407024194403435</v>
      </c>
      <c r="G610">
        <f t="shared" si="89"/>
        <v>2.3016279402937876</v>
      </c>
      <c r="H610">
        <f t="shared" si="90"/>
        <v>-0.11265743435096806</v>
      </c>
      <c r="I610" s="29">
        <f t="shared" si="91"/>
        <v>3.5339463461742265E-3</v>
      </c>
      <c r="J610">
        <f t="shared" si="93"/>
        <v>-0.19649552503075807</v>
      </c>
    </row>
    <row r="611" spans="1:10" x14ac:dyDescent="0.25">
      <c r="A611">
        <f t="shared" si="85"/>
        <v>-0.14737164377306877</v>
      </c>
      <c r="B611">
        <f t="shared" si="86"/>
        <v>3.421866021364029E-3</v>
      </c>
      <c r="D611" s="48">
        <f t="shared" si="92"/>
        <v>10.799999999999979</v>
      </c>
      <c r="E611" s="47">
        <f t="shared" si="87"/>
        <v>5.1294794194269082</v>
      </c>
      <c r="F611">
        <f t="shared" si="88"/>
        <v>0.71007329167275934</v>
      </c>
      <c r="G611">
        <f t="shared" si="89"/>
        <v>2.2648354066966783</v>
      </c>
      <c r="H611">
        <f t="shared" si="90"/>
        <v>-8.4493075763226164E-2</v>
      </c>
      <c r="I611" s="29">
        <f t="shared" si="91"/>
        <v>3.421866021364029E-3</v>
      </c>
      <c r="J611">
        <f t="shared" si="93"/>
        <v>-0.14737164377306877</v>
      </c>
    </row>
    <row r="612" spans="1:10" x14ac:dyDescent="0.25">
      <c r="A612">
        <f t="shared" si="85"/>
        <v>-9.8247762515379478E-2</v>
      </c>
      <c r="B612">
        <f t="shared" si="86"/>
        <v>3.3559625444820121E-3</v>
      </c>
      <c r="D612" s="48">
        <f t="shared" si="92"/>
        <v>10.899999999999979</v>
      </c>
      <c r="E612" s="47">
        <f t="shared" si="87"/>
        <v>5.0306881382299231</v>
      </c>
      <c r="F612">
        <f t="shared" si="88"/>
        <v>0.70162739543271324</v>
      </c>
      <c r="G612">
        <f t="shared" si="89"/>
        <v>2.2429195567897486</v>
      </c>
      <c r="H612">
        <f t="shared" si="90"/>
        <v>-5.632871717548428E-2</v>
      </c>
      <c r="I612" s="29">
        <f t="shared" si="91"/>
        <v>3.3559625444820121E-3</v>
      </c>
      <c r="J612">
        <f t="shared" si="93"/>
        <v>-9.8247762515379478E-2</v>
      </c>
    </row>
    <row r="613" spans="1:10" x14ac:dyDescent="0.25">
      <c r="A613">
        <f t="shared" si="85"/>
        <v>-4.9123881257690627E-2</v>
      </c>
      <c r="B613">
        <f t="shared" si="86"/>
        <v>3.3355340397077898E-3</v>
      </c>
      <c r="D613" s="48">
        <f>D612+$C$553</f>
        <v>10.999999999999979</v>
      </c>
      <c r="E613" s="47">
        <f t="shared" si="87"/>
        <v>5.0000651991216092</v>
      </c>
      <c r="F613">
        <f t="shared" si="88"/>
        <v>0.698975667422844</v>
      </c>
      <c r="G613">
        <f t="shared" si="89"/>
        <v>2.2360825564190625</v>
      </c>
      <c r="H613">
        <f t="shared" si="90"/>
        <v>-2.816435858774239E-2</v>
      </c>
      <c r="I613" s="29">
        <f t="shared" si="91"/>
        <v>3.3355340397077898E-3</v>
      </c>
      <c r="J613">
        <f t="shared" si="93"/>
        <v>-4.9123881257690627E-2</v>
      </c>
    </row>
    <row r="614" spans="1:10" x14ac:dyDescent="0.25">
      <c r="A614">
        <f t="shared" si="85"/>
        <v>0</v>
      </c>
      <c r="B614">
        <f t="shared" si="86"/>
        <v>3.3594426146742891E-3</v>
      </c>
      <c r="D614" s="48">
        <f t="shared" ref="D614:D653" si="94">D613+$C$553</f>
        <v>11.099999999999978</v>
      </c>
      <c r="E614" s="47">
        <f t="shared" si="87"/>
        <v>5.0359048674408262</v>
      </c>
      <c r="F614">
        <f t="shared" si="88"/>
        <v>0.70207751731832313</v>
      </c>
      <c r="G614">
        <f t="shared" si="89"/>
        <v>2.2440821882098763</v>
      </c>
      <c r="H614">
        <f t="shared" si="90"/>
        <v>-5.0029951004656661E-16</v>
      </c>
      <c r="I614" s="29">
        <f t="shared" si="91"/>
        <v>3.3594426146742891E-3</v>
      </c>
      <c r="J614">
        <f t="shared" si="93"/>
        <v>0</v>
      </c>
    </row>
    <row r="615" spans="1:10" x14ac:dyDescent="0.25">
      <c r="A615">
        <f t="shared" si="85"/>
        <v>4.9123881257687962E-2</v>
      </c>
      <c r="B615">
        <f t="shared" si="86"/>
        <v>3.426134318994559E-3</v>
      </c>
      <c r="D615" s="48">
        <f t="shared" si="94"/>
        <v>11.199999999999978</v>
      </c>
      <c r="E615" s="47">
        <f t="shared" si="87"/>
        <v>5.1358777251218415</v>
      </c>
      <c r="F615">
        <f t="shared" si="88"/>
        <v>0.7106146755092011</v>
      </c>
      <c r="G615">
        <f t="shared" si="89"/>
        <v>2.2662474986465715</v>
      </c>
      <c r="H615">
        <f t="shared" si="90"/>
        <v>2.8164358587741387E-2</v>
      </c>
      <c r="I615" s="29">
        <f t="shared" si="91"/>
        <v>3.426134318994559E-3</v>
      </c>
      <c r="J615">
        <f t="shared" si="93"/>
        <v>4.9123881257687962E-2</v>
      </c>
    </row>
    <row r="616" spans="1:10" x14ac:dyDescent="0.25">
      <c r="A616">
        <f t="shared" si="85"/>
        <v>9.8247762515378145E-2</v>
      </c>
      <c r="B616">
        <f t="shared" si="86"/>
        <v>3.5336628649649789E-3</v>
      </c>
      <c r="D616" s="48">
        <f t="shared" si="94"/>
        <v>11.299999999999978</v>
      </c>
      <c r="E616" s="47">
        <f t="shared" si="87"/>
        <v>5.2970662287372763</v>
      </c>
      <c r="F616">
        <f t="shared" si="88"/>
        <v>0.72403540291395008</v>
      </c>
      <c r="G616">
        <f t="shared" si="89"/>
        <v>2.301535624042625</v>
      </c>
      <c r="H616">
        <f t="shared" si="90"/>
        <v>5.6328717175483281E-2</v>
      </c>
      <c r="I616" s="29">
        <f t="shared" si="91"/>
        <v>3.5336628649649789E-3</v>
      </c>
      <c r="J616">
        <f t="shared" si="93"/>
        <v>9.8247762515378145E-2</v>
      </c>
    </row>
    <row r="617" spans="1:10" x14ac:dyDescent="0.25">
      <c r="A617">
        <f t="shared" si="85"/>
        <v>0.14737164377306744</v>
      </c>
      <c r="B617">
        <f t="shared" si="86"/>
        <v>3.6797167989448096E-3</v>
      </c>
      <c r="D617" s="48">
        <f t="shared" si="94"/>
        <v>11.399999999999977</v>
      </c>
      <c r="E617" s="47">
        <f t="shared" si="87"/>
        <v>5.5160054402079925</v>
      </c>
      <c r="F617">
        <f t="shared" si="88"/>
        <v>0.74162468583070595</v>
      </c>
      <c r="G617">
        <f t="shared" si="89"/>
        <v>2.3486177722669122</v>
      </c>
      <c r="H617">
        <f t="shared" si="90"/>
        <v>8.4493075763225164E-2</v>
      </c>
      <c r="I617" s="29">
        <f t="shared" si="91"/>
        <v>3.6797167989448096E-3</v>
      </c>
      <c r="J617">
        <f t="shared" si="93"/>
        <v>0.14737164377306744</v>
      </c>
    </row>
    <row r="618" spans="1:10" x14ac:dyDescent="0.25">
      <c r="A618">
        <f t="shared" ref="A618:A675" si="95">J618</f>
        <v>0.19649552503075629</v>
      </c>
      <c r="B618">
        <f t="shared" ref="B618:B675" si="96">I618</f>
        <v>3.8616497836035475E-3</v>
      </c>
      <c r="D618" s="48">
        <f t="shared" si="94"/>
        <v>11.499999999999977</v>
      </c>
      <c r="E618" s="47">
        <f t="shared" ref="E618:E675" si="97">20*(SIN(D618)+1)*EXP(-D618/10)+5</f>
        <v>5.788728420796784</v>
      </c>
      <c r="F618">
        <f t="shared" ref="F618:F676" si="98">LOG10(E618)</f>
        <v>0.76258317504339246</v>
      </c>
      <c r="G618">
        <f t="shared" ref="G618:G676" si="99">SQRT(E618)</f>
        <v>2.4059776434532356</v>
      </c>
      <c r="H618">
        <f t="shared" ref="H618:H675" si="100">(D618-$D$676)/$D$677</f>
        <v>0.11265743435096706</v>
      </c>
      <c r="I618" s="29">
        <f t="shared" ref="I618:I675" si="101">E618/$E$676</f>
        <v>3.8616497836035475E-3</v>
      </c>
      <c r="J618">
        <f t="shared" ref="J618:J675" si="102">(H618+1.72)*6/3.44-3</f>
        <v>0.19649552503075629</v>
      </c>
    </row>
    <row r="619" spans="1:10" x14ac:dyDescent="0.25">
      <c r="A619">
        <f t="shared" si="95"/>
        <v>0.24561940628844603</v>
      </c>
      <c r="B619">
        <f t="shared" si="96"/>
        <v>4.0765136268747972E-3</v>
      </c>
      <c r="D619" s="48">
        <f t="shared" si="94"/>
        <v>11.599999999999977</v>
      </c>
      <c r="E619" s="47">
        <f t="shared" si="97"/>
        <v>6.1108157424972136</v>
      </c>
      <c r="F619">
        <f t="shared" si="98"/>
        <v>0.78609918877249607</v>
      </c>
      <c r="G619">
        <f t="shared" si="99"/>
        <v>2.4720064203996746</v>
      </c>
      <c r="H619">
        <f t="shared" si="100"/>
        <v>0.14082179293870895</v>
      </c>
      <c r="I619" s="29">
        <f t="shared" si="101"/>
        <v>4.0765136268747972E-3</v>
      </c>
      <c r="J619">
        <f t="shared" si="102"/>
        <v>0.24561940628844603</v>
      </c>
    </row>
    <row r="620" spans="1:10" x14ac:dyDescent="0.25">
      <c r="A620">
        <f t="shared" si="95"/>
        <v>0.29474328754613488</v>
      </c>
      <c r="B620">
        <f t="shared" si="96"/>
        <v>4.3210936732232339E-3</v>
      </c>
      <c r="D620" s="48">
        <f t="shared" si="94"/>
        <v>11.699999999999976</v>
      </c>
      <c r="E620" s="47">
        <f t="shared" si="97"/>
        <v>6.4774485406003635</v>
      </c>
      <c r="F620">
        <f t="shared" si="98"/>
        <v>0.81140397146533805</v>
      </c>
      <c r="G620">
        <f t="shared" si="99"/>
        <v>2.5450832089737978</v>
      </c>
      <c r="H620">
        <f t="shared" si="100"/>
        <v>0.16898615152645083</v>
      </c>
      <c r="I620" s="29">
        <f t="shared" si="101"/>
        <v>4.3210936732232339E-3</v>
      </c>
      <c r="J620">
        <f t="shared" si="102"/>
        <v>0.29474328754613488</v>
      </c>
    </row>
    <row r="621" spans="1:10" x14ac:dyDescent="0.25">
      <c r="A621">
        <f t="shared" si="95"/>
        <v>0.34386716880382462</v>
      </c>
      <c r="B621">
        <f t="shared" si="96"/>
        <v>4.591946156840299E-3</v>
      </c>
      <c r="D621" s="48">
        <f t="shared" si="94"/>
        <v>11.799999999999976</v>
      </c>
      <c r="E621" s="47">
        <f t="shared" si="97"/>
        <v>6.883464507251384</v>
      </c>
      <c r="F621">
        <f t="shared" si="98"/>
        <v>0.83780707743246285</v>
      </c>
      <c r="G621">
        <f t="shared" si="99"/>
        <v>2.6236357421051011</v>
      </c>
      <c r="H621">
        <f t="shared" si="100"/>
        <v>0.19715051011419271</v>
      </c>
      <c r="I621" s="29">
        <f t="shared" si="101"/>
        <v>4.591946156840299E-3</v>
      </c>
      <c r="J621">
        <f t="shared" si="102"/>
        <v>0.34386716880382462</v>
      </c>
    </row>
    <row r="622" spans="1:10" x14ac:dyDescent="0.25">
      <c r="A622">
        <f t="shared" si="95"/>
        <v>0.39299105006151347</v>
      </c>
      <c r="B622">
        <f t="shared" si="96"/>
        <v>4.8854371047103162E-3</v>
      </c>
      <c r="D622" s="48">
        <f t="shared" si="94"/>
        <v>11.899999999999975</v>
      </c>
      <c r="E622" s="47">
        <f t="shared" si="97"/>
        <v>7.32341620830812</v>
      </c>
      <c r="F622">
        <f t="shared" si="98"/>
        <v>0.86471371689460097</v>
      </c>
      <c r="G622">
        <f t="shared" si="99"/>
        <v>2.7061811115127012</v>
      </c>
      <c r="H622">
        <f t="shared" si="100"/>
        <v>0.22531486870193462</v>
      </c>
      <c r="I622" s="29">
        <f t="shared" si="101"/>
        <v>4.8854371047103162E-3</v>
      </c>
      <c r="J622">
        <f t="shared" si="102"/>
        <v>0.39299105006151347</v>
      </c>
    </row>
    <row r="623" spans="1:10" x14ac:dyDescent="0.25">
      <c r="A623">
        <f t="shared" si="95"/>
        <v>0.44211493131920321</v>
      </c>
      <c r="B623">
        <f t="shared" si="96"/>
        <v>5.1977823701629183E-3</v>
      </c>
      <c r="D623" s="48">
        <f t="shared" si="94"/>
        <v>11.999999999999975</v>
      </c>
      <c r="E623" s="47">
        <f t="shared" si="97"/>
        <v>7.7916310948324901</v>
      </c>
      <c r="F623">
        <f t="shared" si="98"/>
        <v>0.89162838210576245</v>
      </c>
      <c r="G623">
        <f t="shared" si="99"/>
        <v>2.7913493322822371</v>
      </c>
      <c r="H623">
        <f t="shared" si="100"/>
        <v>0.25347922728967648</v>
      </c>
      <c r="I623" s="29">
        <f t="shared" si="101"/>
        <v>5.1977823701629183E-3</v>
      </c>
      <c r="J623">
        <f t="shared" si="102"/>
        <v>0.44211493131920321</v>
      </c>
    </row>
    <row r="624" spans="1:10" x14ac:dyDescent="0.25">
      <c r="A624">
        <f t="shared" si="95"/>
        <v>0.49123881257689206</v>
      </c>
      <c r="B624">
        <f t="shared" si="96"/>
        <v>5.5250883745370741E-3</v>
      </c>
      <c r="D624" s="48">
        <f t="shared" si="94"/>
        <v>12.099999999999975</v>
      </c>
      <c r="E624" s="47">
        <f t="shared" si="97"/>
        <v>8.2822725760623239</v>
      </c>
      <c r="F624">
        <f t="shared" si="98"/>
        <v>0.91814951937232203</v>
      </c>
      <c r="G624">
        <f t="shared" si="99"/>
        <v>2.877893774283951</v>
      </c>
      <c r="H624">
        <f t="shared" si="100"/>
        <v>0.28164358587741839</v>
      </c>
      <c r="I624" s="29">
        <f t="shared" si="101"/>
        <v>5.5250883745370741E-3</v>
      </c>
      <c r="J624">
        <f t="shared" si="102"/>
        <v>0.49123881257689206</v>
      </c>
    </row>
    <row r="625" spans="1:10" x14ac:dyDescent="0.25">
      <c r="A625">
        <f t="shared" si="95"/>
        <v>0.5403626938345818</v>
      </c>
      <c r="B625">
        <f t="shared" si="96"/>
        <v>5.8633931358707406E-3</v>
      </c>
      <c r="D625" s="48">
        <f t="shared" si="94"/>
        <v>12.199999999999974</v>
      </c>
      <c r="E625" s="47">
        <f t="shared" si="97"/>
        <v>8.7894015226431819</v>
      </c>
      <c r="F625">
        <f t="shared" si="98"/>
        <v>0.94395930462299449</v>
      </c>
      <c r="G625">
        <f t="shared" si="99"/>
        <v>2.9646924836554605</v>
      </c>
      <c r="H625">
        <f t="shared" si="100"/>
        <v>0.3098079444651603</v>
      </c>
      <c r="I625" s="29">
        <f t="shared" si="101"/>
        <v>5.8633931358707406E-3</v>
      </c>
      <c r="J625">
        <f t="shared" si="102"/>
        <v>0.5403626938345818</v>
      </c>
    </row>
    <row r="626" spans="1:10" x14ac:dyDescent="0.25">
      <c r="A626">
        <f t="shared" si="95"/>
        <v>0.58948657509227154</v>
      </c>
      <c r="B626">
        <f t="shared" si="96"/>
        <v>6.2087071690004611E-3</v>
      </c>
      <c r="D626" s="48">
        <f t="shared" si="94"/>
        <v>12.299999999999974</v>
      </c>
      <c r="E626" s="47">
        <f t="shared" si="97"/>
        <v>9.3070375770998481</v>
      </c>
      <c r="F626">
        <f t="shared" si="98"/>
        <v>0.96881146737736501</v>
      </c>
      <c r="G626">
        <f t="shared" si="99"/>
        <v>3.0507437744097503</v>
      </c>
      <c r="H626">
        <f t="shared" si="100"/>
        <v>0.33797230305290216</v>
      </c>
      <c r="I626" s="29">
        <f t="shared" si="101"/>
        <v>6.2087071690004611E-3</v>
      </c>
      <c r="J626">
        <f t="shared" si="102"/>
        <v>0.58948657509227154</v>
      </c>
    </row>
    <row r="627" spans="1:10" x14ac:dyDescent="0.25">
      <c r="A627">
        <f t="shared" si="95"/>
        <v>0.63861045634996083</v>
      </c>
      <c r="B627">
        <f t="shared" si="96"/>
        <v>6.5570538509698581E-3</v>
      </c>
      <c r="D627" s="48">
        <f t="shared" si="94"/>
        <v>12.399999999999974</v>
      </c>
      <c r="E627" s="47">
        <f t="shared" si="97"/>
        <v>9.8292196627898658</v>
      </c>
      <c r="F627">
        <f t="shared" si="98"/>
        <v>0.99251904076230513</v>
      </c>
      <c r="G627">
        <f t="shared" si="99"/>
        <v>3.1351586343899513</v>
      </c>
      <c r="H627">
        <f t="shared" si="100"/>
        <v>0.36613666164064407</v>
      </c>
      <c r="I627" s="29">
        <f t="shared" si="101"/>
        <v>6.5570538509698581E-3</v>
      </c>
      <c r="J627">
        <f t="shared" si="102"/>
        <v>0.63861045634996083</v>
      </c>
    </row>
    <row r="628" spans="1:10" x14ac:dyDescent="0.25">
      <c r="A628">
        <f t="shared" si="95"/>
        <v>0.68773433760765013</v>
      </c>
      <c r="B628">
        <f t="shared" si="96"/>
        <v>6.904508859029536E-3</v>
      </c>
      <c r="D628" s="48">
        <f t="shared" si="94"/>
        <v>12.499999999999973</v>
      </c>
      <c r="E628" s="47">
        <f t="shared" si="97"/>
        <v>10.350065102643901</v>
      </c>
      <c r="F628">
        <f t="shared" si="98"/>
        <v>1.0149430815446352</v>
      </c>
      <c r="G628">
        <f t="shared" si="99"/>
        <v>3.2171517065012494</v>
      </c>
      <c r="H628">
        <f t="shared" si="100"/>
        <v>0.39430102022838592</v>
      </c>
      <c r="I628" s="29">
        <f t="shared" si="101"/>
        <v>6.904508859029536E-3</v>
      </c>
      <c r="J628">
        <f t="shared" si="102"/>
        <v>0.68773433760765013</v>
      </c>
    </row>
    <row r="629" spans="1:10" x14ac:dyDescent="0.25">
      <c r="A629">
        <f t="shared" si="95"/>
        <v>0.73685821886533898</v>
      </c>
      <c r="B629">
        <f t="shared" si="96"/>
        <v>7.2472383055532368E-3</v>
      </c>
      <c r="D629" s="48">
        <f t="shared" si="94"/>
        <v>12.599999999999973</v>
      </c>
      <c r="E629" s="47">
        <f t="shared" si="97"/>
        <v>10.863826784544619</v>
      </c>
      <c r="F629">
        <f t="shared" si="98"/>
        <v>1.0359828324964262</v>
      </c>
      <c r="G629">
        <f t="shared" si="99"/>
        <v>3.2960319756556702</v>
      </c>
      <c r="H629">
        <f t="shared" si="100"/>
        <v>0.42246537881612783</v>
      </c>
      <c r="I629" s="29">
        <f t="shared" si="101"/>
        <v>7.2472383055532368E-3</v>
      </c>
      <c r="J629">
        <f t="shared" si="102"/>
        <v>0.73685821886533898</v>
      </c>
    </row>
    <row r="630" spans="1:10" x14ac:dyDescent="0.25">
      <c r="A630">
        <f t="shared" si="95"/>
        <v>0.78598210012302916</v>
      </c>
      <c r="B630">
        <f t="shared" si="96"/>
        <v>7.5815352146535262E-3</v>
      </c>
      <c r="D630" s="48">
        <f t="shared" si="94"/>
        <v>12.699999999999973</v>
      </c>
      <c r="E630" s="47">
        <f t="shared" si="97"/>
        <v>11.364947840863596</v>
      </c>
      <c r="F630">
        <f t="shared" si="98"/>
        <v>1.0555674468821861</v>
      </c>
      <c r="G630">
        <f t="shared" si="99"/>
        <v>3.3711938302126141</v>
      </c>
      <c r="H630">
        <f t="shared" si="100"/>
        <v>0.45062973740386975</v>
      </c>
      <c r="I630" s="29">
        <f t="shared" si="101"/>
        <v>7.5815352146535262E-3</v>
      </c>
      <c r="J630">
        <f t="shared" si="102"/>
        <v>0.78598210012302916</v>
      </c>
    </row>
    <row r="631" spans="1:10" x14ac:dyDescent="0.25">
      <c r="A631">
        <f t="shared" si="95"/>
        <v>0.83510598138071757</v>
      </c>
      <c r="B631">
        <f t="shared" si="96"/>
        <v>7.9038540088824799E-3</v>
      </c>
      <c r="D631" s="48">
        <f t="shared" si="94"/>
        <v>12.799999999999972</v>
      </c>
      <c r="E631" s="47">
        <f t="shared" si="97"/>
        <v>11.848113345056209</v>
      </c>
      <c r="F631">
        <f t="shared" si="98"/>
        <v>1.0736492002141147</v>
      </c>
      <c r="G631">
        <f t="shared" si="99"/>
        <v>3.4421088514246914</v>
      </c>
      <c r="H631">
        <f t="shared" si="100"/>
        <v>0.4787940959916116</v>
      </c>
      <c r="I631" s="29">
        <f t="shared" si="101"/>
        <v>7.9038540088824799E-3</v>
      </c>
      <c r="J631">
        <f t="shared" si="102"/>
        <v>0.83510598138071757</v>
      </c>
    </row>
    <row r="632" spans="1:10" x14ac:dyDescent="0.25">
      <c r="A632">
        <f t="shared" si="95"/>
        <v>0.8842298626384073</v>
      </c>
      <c r="B632">
        <f t="shared" si="96"/>
        <v>8.21084270085113E-3</v>
      </c>
      <c r="D632" s="48">
        <f t="shared" si="94"/>
        <v>12.899999999999972</v>
      </c>
      <c r="E632" s="47">
        <f t="shared" si="97"/>
        <v>12.308298567861124</v>
      </c>
      <c r="F632">
        <f t="shared" si="98"/>
        <v>1.0901980225771968</v>
      </c>
      <c r="G632">
        <f t="shared" si="99"/>
        <v>3.508318481532303</v>
      </c>
      <c r="H632">
        <f t="shared" si="100"/>
        <v>0.50695845457935351</v>
      </c>
      <c r="I632" s="29">
        <f t="shared" si="101"/>
        <v>8.21084270085113E-3</v>
      </c>
      <c r="J632">
        <f t="shared" si="102"/>
        <v>0.8842298626384073</v>
      </c>
    </row>
    <row r="633" spans="1:10" x14ac:dyDescent="0.25">
      <c r="A633">
        <f t="shared" si="95"/>
        <v>0.93335374389609704</v>
      </c>
      <c r="B633">
        <f t="shared" si="96"/>
        <v>8.4993725135748526E-3</v>
      </c>
      <c r="D633" s="48">
        <f t="shared" si="94"/>
        <v>12.999999999999972</v>
      </c>
      <c r="E633" s="47">
        <f t="shared" si="97"/>
        <v>12.740813379083182</v>
      </c>
      <c r="F633">
        <f t="shared" si="98"/>
        <v>1.1051971544335224</v>
      </c>
      <c r="G633">
        <f t="shared" si="99"/>
        <v>3.5694275982408135</v>
      </c>
      <c r="H633">
        <f t="shared" si="100"/>
        <v>0.53512281316709542</v>
      </c>
      <c r="I633" s="29">
        <f t="shared" si="101"/>
        <v>8.4993725135748526E-3</v>
      </c>
      <c r="J633">
        <f t="shared" si="102"/>
        <v>0.93335374389609704</v>
      </c>
    </row>
    <row r="634" spans="1:10" x14ac:dyDescent="0.25">
      <c r="A634">
        <f t="shared" si="95"/>
        <v>0.98247762515378545</v>
      </c>
      <c r="B634">
        <f t="shared" si="96"/>
        <v>8.766564684511197E-3</v>
      </c>
      <c r="D634" s="48">
        <f t="shared" si="94"/>
        <v>13.099999999999971</v>
      </c>
      <c r="E634" s="47">
        <f t="shared" si="97"/>
        <v>13.141342427647054</v>
      </c>
      <c r="F634">
        <f t="shared" si="98"/>
        <v>1.118639731977217</v>
      </c>
      <c r="G634">
        <f t="shared" si="99"/>
        <v>3.6250989541869134</v>
      </c>
      <c r="H634">
        <f t="shared" si="100"/>
        <v>0.56328717175483722</v>
      </c>
      <c r="I634" s="29">
        <f t="shared" si="101"/>
        <v>8.766564684511197E-3</v>
      </c>
      <c r="J634">
        <f t="shared" si="102"/>
        <v>0.98247762515378545</v>
      </c>
    </row>
    <row r="635" spans="1:10" x14ac:dyDescent="0.25">
      <c r="A635">
        <f t="shared" si="95"/>
        <v>1.0316015064114756</v>
      </c>
      <c r="B635">
        <f t="shared" si="96"/>
        <v>9.0098142412470862E-3</v>
      </c>
      <c r="D635" s="48">
        <f t="shared" si="94"/>
        <v>13.199999999999971</v>
      </c>
      <c r="E635" s="47">
        <f t="shared" si="97"/>
        <v>13.505980782062837</v>
      </c>
      <c r="F635">
        <f t="shared" si="98"/>
        <v>1.1305261274180745</v>
      </c>
      <c r="G635">
        <f t="shared" si="99"/>
        <v>3.675048405404048</v>
      </c>
      <c r="H635">
        <f t="shared" si="100"/>
        <v>0.59145153034257913</v>
      </c>
      <c r="I635" s="29">
        <f t="shared" si="101"/>
        <v>9.0098142412470862E-3</v>
      </c>
      <c r="J635">
        <f t="shared" si="102"/>
        <v>1.0316015064114756</v>
      </c>
    </row>
    <row r="636" spans="1:10" x14ac:dyDescent="0.25">
      <c r="A636">
        <f t="shared" si="95"/>
        <v>1.0807253876691645</v>
      </c>
      <c r="B636">
        <f t="shared" si="96"/>
        <v>9.2268105712481844E-3</v>
      </c>
      <c r="D636" s="48">
        <f t="shared" si="94"/>
        <v>13.299999999999971</v>
      </c>
      <c r="E636" s="47">
        <f t="shared" si="97"/>
        <v>13.831264765095025</v>
      </c>
      <c r="F636">
        <f t="shared" si="98"/>
        <v>1.1408618948878444</v>
      </c>
      <c r="G636">
        <f t="shared" si="99"/>
        <v>3.7190408393959622</v>
      </c>
      <c r="H636">
        <f t="shared" si="100"/>
        <v>0.61961588893032105</v>
      </c>
      <c r="I636" s="29">
        <f t="shared" si="101"/>
        <v>9.2268105712481844E-3</v>
      </c>
      <c r="J636">
        <f t="shared" si="102"/>
        <v>1.0807253876691645</v>
      </c>
    </row>
    <row r="637" spans="1:10" x14ac:dyDescent="0.25">
      <c r="A637">
        <f t="shared" si="95"/>
        <v>1.1298492689268533</v>
      </c>
      <c r="B637">
        <f t="shared" si="96"/>
        <v>9.4155546436309797E-3</v>
      </c>
      <c r="D637" s="48">
        <f t="shared" si="94"/>
        <v>13.39999999999997</v>
      </c>
      <c r="E637" s="47">
        <f t="shared" si="97"/>
        <v>14.114197769713495</v>
      </c>
      <c r="F637">
        <f t="shared" si="98"/>
        <v>1.1496561985234732</v>
      </c>
      <c r="G637">
        <f t="shared" si="99"/>
        <v>3.7568867123874652</v>
      </c>
      <c r="H637">
        <f t="shared" si="100"/>
        <v>0.64778024751806296</v>
      </c>
      <c r="I637" s="29">
        <f t="shared" si="101"/>
        <v>9.4155546436309797E-3</v>
      </c>
      <c r="J637">
        <f t="shared" si="102"/>
        <v>1.1298492689268533</v>
      </c>
    </row>
    <row r="638" spans="1:10" x14ac:dyDescent="0.25">
      <c r="A638">
        <f t="shared" si="95"/>
        <v>1.1789731501845431</v>
      </c>
      <c r="B638">
        <f t="shared" si="96"/>
        <v>9.5743727771813725E-3</v>
      </c>
      <c r="D638" s="48">
        <f t="shared" si="94"/>
        <v>13.49999999999997</v>
      </c>
      <c r="E638" s="47">
        <f t="shared" si="97"/>
        <v>14.352270897764777</v>
      </c>
      <c r="F638">
        <f t="shared" si="98"/>
        <v>1.1569206230449225</v>
      </c>
      <c r="G638">
        <f t="shared" si="99"/>
        <v>3.7884391110013604</v>
      </c>
      <c r="H638">
        <f t="shared" si="100"/>
        <v>0.67594460610580487</v>
      </c>
      <c r="I638" s="29">
        <f t="shared" si="101"/>
        <v>9.5743727771813725E-3</v>
      </c>
      <c r="J638">
        <f t="shared" si="102"/>
        <v>1.1789731501845431</v>
      </c>
    </row>
    <row r="639" spans="1:10" x14ac:dyDescent="0.25">
      <c r="A639">
        <f t="shared" si="95"/>
        <v>1.2280970314422328</v>
      </c>
      <c r="B639">
        <f t="shared" si="96"/>
        <v>9.7019268854452393E-3</v>
      </c>
      <c r="D639" s="48">
        <f t="shared" si="94"/>
        <v>13.599999999999969</v>
      </c>
      <c r="E639" s="47">
        <f t="shared" si="97"/>
        <v>14.543478317668974</v>
      </c>
      <c r="F639">
        <f t="shared" si="98"/>
        <v>1.1626682877823817</v>
      </c>
      <c r="G639">
        <f t="shared" si="99"/>
        <v>3.8135912625331225</v>
      </c>
      <c r="H639">
        <f t="shared" si="100"/>
        <v>0.70410896469354667</v>
      </c>
      <c r="I639" s="29">
        <f t="shared" si="101"/>
        <v>9.7019268854452393E-3</v>
      </c>
      <c r="J639">
        <f t="shared" si="102"/>
        <v>1.2280970314422328</v>
      </c>
    </row>
    <row r="640" spans="1:10" x14ac:dyDescent="0.25">
      <c r="A640">
        <f t="shared" si="95"/>
        <v>1.2772209126999226</v>
      </c>
      <c r="B640">
        <f t="shared" si="96"/>
        <v>9.7972211662849373E-3</v>
      </c>
      <c r="D640" s="48">
        <f t="shared" si="94"/>
        <v>13.699999999999969</v>
      </c>
      <c r="E640" s="47">
        <f t="shared" si="97"/>
        <v>14.686327292264849</v>
      </c>
      <c r="F640">
        <f t="shared" si="98"/>
        <v>1.1669132024528075</v>
      </c>
      <c r="G640">
        <f t="shared" si="99"/>
        <v>3.8322744280994345</v>
      </c>
      <c r="H640">
        <f t="shared" si="100"/>
        <v>0.73227332328128858</v>
      </c>
      <c r="I640" s="29">
        <f t="shared" si="101"/>
        <v>9.7972211662849373E-3</v>
      </c>
      <c r="J640">
        <f t="shared" si="102"/>
        <v>1.2772209126999226</v>
      </c>
    </row>
    <row r="641" spans="1:10" x14ac:dyDescent="0.25">
      <c r="A641">
        <f t="shared" si="95"/>
        <v>1.3263447939576105</v>
      </c>
      <c r="B641">
        <f t="shared" si="96"/>
        <v>9.8596052394654566E-3</v>
      </c>
      <c r="D641" s="48">
        <f t="shared" si="94"/>
        <v>13.799999999999969</v>
      </c>
      <c r="E641" s="47">
        <f t="shared" si="97"/>
        <v>14.779842882145232</v>
      </c>
      <c r="F641">
        <f t="shared" si="98"/>
        <v>1.1696698172942588</v>
      </c>
      <c r="G641">
        <f t="shared" si="99"/>
        <v>3.8444561230615224</v>
      </c>
      <c r="H641">
        <f t="shared" si="100"/>
        <v>0.76043768186903049</v>
      </c>
      <c r="I641" s="29">
        <f t="shared" si="101"/>
        <v>9.8596052394654566E-3</v>
      </c>
      <c r="J641">
        <f t="shared" si="102"/>
        <v>1.3263447939576105</v>
      </c>
    </row>
    <row r="642" spans="1:10" x14ac:dyDescent="0.25">
      <c r="A642">
        <f t="shared" si="95"/>
        <v>1.3754686752153011</v>
      </c>
      <c r="B642">
        <f t="shared" si="96"/>
        <v>9.8887737712521281E-3</v>
      </c>
      <c r="D642" s="48">
        <f t="shared" si="94"/>
        <v>13.899999999999968</v>
      </c>
      <c r="E642" s="47">
        <f t="shared" si="97"/>
        <v>14.823567382917764</v>
      </c>
      <c r="F642">
        <f t="shared" si="98"/>
        <v>1.1709527318671555</v>
      </c>
      <c r="G642">
        <f t="shared" si="99"/>
        <v>3.8501386186626791</v>
      </c>
      <c r="H642">
        <f t="shared" si="100"/>
        <v>0.7886020404567724</v>
      </c>
      <c r="I642" s="29">
        <f t="shared" si="101"/>
        <v>9.8887737712521281E-3</v>
      </c>
      <c r="J642">
        <f t="shared" si="102"/>
        <v>1.3754686752153011</v>
      </c>
    </row>
    <row r="643" spans="1:10" x14ac:dyDescent="0.25">
      <c r="A643">
        <f t="shared" si="95"/>
        <v>1.42459255647299</v>
      </c>
      <c r="B643">
        <f t="shared" si="96"/>
        <v>9.884762659329107E-3</v>
      </c>
      <c r="D643" s="48">
        <f t="shared" si="94"/>
        <v>13.999999999999968</v>
      </c>
      <c r="E643" s="47">
        <f t="shared" si="97"/>
        <v>14.8175546062837</v>
      </c>
      <c r="F643">
        <f t="shared" si="98"/>
        <v>1.1707765363945375</v>
      </c>
      <c r="G643">
        <f t="shared" si="99"/>
        <v>3.849357687495889</v>
      </c>
      <c r="H643">
        <f t="shared" si="100"/>
        <v>0.81676639904451431</v>
      </c>
      <c r="I643" s="29">
        <f t="shared" si="101"/>
        <v>9.884762659329107E-3</v>
      </c>
      <c r="J643">
        <f t="shared" si="102"/>
        <v>1.42459255647299</v>
      </c>
    </row>
    <row r="644" spans="1:10" x14ac:dyDescent="0.25">
      <c r="A644">
        <f t="shared" si="95"/>
        <v>1.4737164377306788</v>
      </c>
      <c r="B644">
        <f t="shared" si="96"/>
        <v>9.8479418842629413E-3</v>
      </c>
      <c r="D644" s="48">
        <f t="shared" si="94"/>
        <v>14.099999999999968</v>
      </c>
      <c r="E644" s="47">
        <f t="shared" si="97"/>
        <v>14.762359164168187</v>
      </c>
      <c r="F644">
        <f t="shared" si="98"/>
        <v>1.1691557673859154</v>
      </c>
      <c r="G644">
        <f t="shared" si="99"/>
        <v>3.8421815631445875</v>
      </c>
      <c r="H644">
        <f t="shared" si="100"/>
        <v>0.84493075763225622</v>
      </c>
      <c r="I644" s="29">
        <f t="shared" si="101"/>
        <v>9.8479418842629413E-3</v>
      </c>
      <c r="J644">
        <f t="shared" si="102"/>
        <v>1.4737164377306788</v>
      </c>
    </row>
    <row r="645" spans="1:10" x14ac:dyDescent="0.25">
      <c r="A645">
        <f t="shared" si="95"/>
        <v>1.5228403189883686</v>
      </c>
      <c r="B645">
        <f t="shared" si="96"/>
        <v>9.7790051649376247E-3</v>
      </c>
      <c r="D645" s="48">
        <f t="shared" si="94"/>
        <v>14.199999999999967</v>
      </c>
      <c r="E645" s="47">
        <f t="shared" si="97"/>
        <v>14.659020961908277</v>
      </c>
      <c r="F645">
        <f t="shared" si="98"/>
        <v>1.1661049658686022</v>
      </c>
      <c r="G645">
        <f t="shared" si="99"/>
        <v>3.8287100911283787</v>
      </c>
      <c r="H645">
        <f t="shared" si="100"/>
        <v>0.87309511621999802</v>
      </c>
      <c r="I645" s="29">
        <f t="shared" si="101"/>
        <v>9.7790051649376247E-3</v>
      </c>
      <c r="J645">
        <f t="shared" si="102"/>
        <v>1.5228403189883686</v>
      </c>
    </row>
    <row r="646" spans="1:10" x14ac:dyDescent="0.25">
      <c r="A646">
        <f t="shared" si="95"/>
        <v>1.5719642002460583</v>
      </c>
      <c r="B646">
        <f t="shared" si="96"/>
        <v>9.6789565845986601E-3</v>
      </c>
      <c r="D646" s="48">
        <f t="shared" si="94"/>
        <v>14.299999999999967</v>
      </c>
      <c r="E646" s="47">
        <f t="shared" si="97"/>
        <v>14.509045150293355</v>
      </c>
      <c r="F646">
        <f t="shared" si="98"/>
        <v>1.1616388321755911</v>
      </c>
      <c r="G646">
        <f t="shared" si="99"/>
        <v>3.8090740541886756</v>
      </c>
      <c r="H646">
        <f t="shared" si="100"/>
        <v>0.90125947480773994</v>
      </c>
      <c r="I646" s="29">
        <f t="shared" si="101"/>
        <v>9.6789565845986601E-3</v>
      </c>
      <c r="J646">
        <f t="shared" si="102"/>
        <v>1.5719642002460583</v>
      </c>
    </row>
    <row r="647" spans="1:10" x14ac:dyDescent="0.25">
      <c r="A647">
        <f t="shared" si="95"/>
        <v>1.6210880815037481</v>
      </c>
      <c r="B647">
        <f t="shared" si="96"/>
        <v>9.5490943811115062E-3</v>
      </c>
      <c r="D647" s="48">
        <f t="shared" si="94"/>
        <v>14.399999999999967</v>
      </c>
      <c r="E647" s="47">
        <f t="shared" si="97"/>
        <v>14.314377826678138</v>
      </c>
      <c r="F647">
        <f t="shared" si="98"/>
        <v>1.1557724761918726</v>
      </c>
      <c r="G647">
        <f t="shared" si="99"/>
        <v>3.783434660024954</v>
      </c>
      <c r="H647">
        <f t="shared" si="100"/>
        <v>0.92942383339548185</v>
      </c>
      <c r="I647" s="29">
        <f t="shared" si="101"/>
        <v>9.5490943811115062E-3</v>
      </c>
      <c r="J647">
        <f t="shared" si="102"/>
        <v>1.6210880815037481</v>
      </c>
    </row>
    <row r="648" spans="1:10" x14ac:dyDescent="0.25">
      <c r="A648">
        <f t="shared" si="95"/>
        <v>1.670211962761436</v>
      </c>
      <c r="B648">
        <f t="shared" si="96"/>
        <v>9.3909921195391554E-3</v>
      </c>
      <c r="D648" s="48">
        <f t="shared" si="94"/>
        <v>14.499999999999966</v>
      </c>
      <c r="E648" s="47">
        <f t="shared" si="97"/>
        <v>14.077377812113879</v>
      </c>
      <c r="F648">
        <f t="shared" si="98"/>
        <v>1.1485217664690937</v>
      </c>
      <c r="G648">
        <f t="shared" si="99"/>
        <v>3.7519831838794104</v>
      </c>
      <c r="H648">
        <f t="shared" si="100"/>
        <v>0.95758819198322376</v>
      </c>
      <c r="I648" s="29">
        <f t="shared" si="101"/>
        <v>9.3909921195391554E-3</v>
      </c>
      <c r="J648">
        <f t="shared" si="102"/>
        <v>1.670211962761436</v>
      </c>
    </row>
    <row r="649" spans="1:10" x14ac:dyDescent="0.25">
      <c r="A649">
        <f t="shared" si="95"/>
        <v>1.7193358440191266</v>
      </c>
      <c r="B649">
        <f t="shared" si="96"/>
        <v>9.2064774869788837E-3</v>
      </c>
      <c r="D649" s="48">
        <f t="shared" si="94"/>
        <v>14.599999999999966</v>
      </c>
      <c r="E649" s="47">
        <f t="shared" si="97"/>
        <v>13.800784864174977</v>
      </c>
      <c r="F649">
        <f t="shared" si="98"/>
        <v>1.1399037858568501</v>
      </c>
      <c r="G649">
        <f t="shared" si="99"/>
        <v>3.714940761866194</v>
      </c>
      <c r="H649">
        <f t="shared" si="100"/>
        <v>0.98575255057096567</v>
      </c>
      <c r="I649" s="29">
        <f t="shared" si="101"/>
        <v>9.2064774869788837E-3</v>
      </c>
      <c r="J649">
        <f t="shared" si="102"/>
        <v>1.7193358440191266</v>
      </c>
    </row>
    <row r="650" spans="1:10" x14ac:dyDescent="0.25">
      <c r="A650">
        <f t="shared" si="95"/>
        <v>1.7684597252768146</v>
      </c>
      <c r="B650">
        <f t="shared" si="96"/>
        <v>8.9976089686036338E-3</v>
      </c>
      <c r="D650" s="48">
        <f t="shared" si="94"/>
        <v>14.699999999999966</v>
      </c>
      <c r="E650" s="47">
        <f t="shared" si="97"/>
        <v>13.487684713648056</v>
      </c>
      <c r="F650">
        <f t="shared" si="98"/>
        <v>1.1299374053883739</v>
      </c>
      <c r="G650">
        <f t="shared" si="99"/>
        <v>3.6725583335936349</v>
      </c>
      <c r="H650">
        <f t="shared" si="100"/>
        <v>1.0139169091587075</v>
      </c>
      <c r="I650" s="29">
        <f t="shared" si="101"/>
        <v>8.9976089686036338E-3</v>
      </c>
      <c r="J650">
        <f t="shared" si="102"/>
        <v>1.7684597252768146</v>
      </c>
    </row>
    <row r="651" spans="1:10" x14ac:dyDescent="0.25">
      <c r="A651">
        <f t="shared" si="95"/>
        <v>1.8175836065345043</v>
      </c>
      <c r="B651">
        <f t="shared" si="96"/>
        <v>8.7666506798955574E-3</v>
      </c>
      <c r="D651" s="48">
        <f t="shared" si="94"/>
        <v>14.799999999999965</v>
      </c>
      <c r="E651" s="47">
        <f t="shared" si="97"/>
        <v>13.141471337297952</v>
      </c>
      <c r="F651">
        <f t="shared" si="98"/>
        <v>1.1186439921565532</v>
      </c>
      <c r="G651">
        <f t="shared" si="99"/>
        <v>3.6251167342994561</v>
      </c>
      <c r="H651">
        <f t="shared" si="100"/>
        <v>1.0420812677464495</v>
      </c>
      <c r="I651" s="29">
        <f t="shared" si="101"/>
        <v>8.7666506798955574E-3</v>
      </c>
      <c r="J651">
        <f t="shared" si="102"/>
        <v>1.8175836065345043</v>
      </c>
    </row>
    <row r="652" spans="1:10" x14ac:dyDescent="0.25">
      <c r="A652">
        <f t="shared" si="95"/>
        <v>1.866707487792195</v>
      </c>
      <c r="B652">
        <f t="shared" si="96"/>
        <v>8.5160456430360704E-3</v>
      </c>
      <c r="D652" s="48">
        <f t="shared" si="94"/>
        <v>14.899999999999965</v>
      </c>
      <c r="E652" s="47">
        <f t="shared" si="97"/>
        <v>12.765806898377857</v>
      </c>
      <c r="F652">
        <f t="shared" si="98"/>
        <v>1.1060482708000989</v>
      </c>
      <c r="G652">
        <f t="shared" si="99"/>
        <v>3.5729269371731989</v>
      </c>
      <c r="H652">
        <f t="shared" si="100"/>
        <v>1.0702456263341913</v>
      </c>
      <c r="I652" s="29">
        <f t="shared" si="101"/>
        <v>8.5160456430360704E-3</v>
      </c>
      <c r="J652">
        <f t="shared" si="102"/>
        <v>1.866707487792195</v>
      </c>
    </row>
    <row r="653" spans="1:10" x14ac:dyDescent="0.25">
      <c r="A653">
        <f t="shared" si="95"/>
        <v>1.9158313690498838</v>
      </c>
      <c r="B653">
        <f t="shared" si="96"/>
        <v>8.2483878052596049E-3</v>
      </c>
      <c r="D653" s="48">
        <f t="shared" si="94"/>
        <v>14.999999999999964</v>
      </c>
      <c r="E653" s="47">
        <f t="shared" si="97"/>
        <v>12.364579801305425</v>
      </c>
      <c r="F653">
        <f t="shared" si="98"/>
        <v>1.092179361855812</v>
      </c>
      <c r="G653">
        <f t="shared" si="99"/>
        <v>3.5163304454083129</v>
      </c>
      <c r="H653">
        <f t="shared" si="100"/>
        <v>1.0984099849219331</v>
      </c>
      <c r="I653" s="29">
        <f t="shared" si="101"/>
        <v>8.2483878052596049E-3</v>
      </c>
      <c r="J653">
        <f t="shared" si="102"/>
        <v>1.9158313690498838</v>
      </c>
    </row>
    <row r="654" spans="1:10" x14ac:dyDescent="0.25">
      <c r="A654">
        <f t="shared" si="95"/>
        <v>1.9649552503075727</v>
      </c>
      <c r="B654">
        <f t="shared" si="96"/>
        <v>7.9663931036505868E-3</v>
      </c>
      <c r="D654" s="48">
        <f t="shared" ref="D654:D675" si="103">D653+$C$553</f>
        <v>15.099999999999964</v>
      </c>
      <c r="E654" s="47">
        <f t="shared" si="97"/>
        <v>11.941861316928794</v>
      </c>
      <c r="F654">
        <f t="shared" si="98"/>
        <v>1.0770720233319204</v>
      </c>
      <c r="G654">
        <f t="shared" si="99"/>
        <v>3.4556998302700994</v>
      </c>
      <c r="H654">
        <f t="shared" si="100"/>
        <v>1.1265743435096751</v>
      </c>
      <c r="I654" s="29">
        <f t="shared" si="101"/>
        <v>7.9663931036505868E-3</v>
      </c>
      <c r="J654">
        <f t="shared" si="102"/>
        <v>1.9649552503075727</v>
      </c>
    </row>
    <row r="655" spans="1:10" x14ac:dyDescent="0.25">
      <c r="A655">
        <f t="shared" si="95"/>
        <v>2.0140791315652615</v>
      </c>
      <c r="B655">
        <f t="shared" si="96"/>
        <v>7.6728698843614206E-3</v>
      </c>
      <c r="D655" s="48">
        <f t="shared" si="103"/>
        <v>15.199999999999964</v>
      </c>
      <c r="E655" s="47">
        <f t="shared" si="97"/>
        <v>11.501861240050408</v>
      </c>
      <c r="F655">
        <f t="shared" si="98"/>
        <v>1.0607681239082092</v>
      </c>
      <c r="G655">
        <f t="shared" si="99"/>
        <v>3.3914394053337307</v>
      </c>
      <c r="H655">
        <f t="shared" si="100"/>
        <v>1.1547387020974169</v>
      </c>
      <c r="I655" s="29">
        <f t="shared" si="101"/>
        <v>7.6728698843614206E-3</v>
      </c>
      <c r="J655">
        <f t="shared" si="102"/>
        <v>2.0140791315652615</v>
      </c>
    </row>
    <row r="656" spans="1:10" x14ac:dyDescent="0.25">
      <c r="A656">
        <f t="shared" si="95"/>
        <v>2.0632030128229522</v>
      </c>
      <c r="B656">
        <f t="shared" si="96"/>
        <v>7.3706889845809812E-3</v>
      </c>
      <c r="D656" s="48">
        <f t="shared" si="103"/>
        <v>15.299999999999963</v>
      </c>
      <c r="E656" s="47">
        <f t="shared" si="97"/>
        <v>11.048883041403755</v>
      </c>
      <c r="F656">
        <f t="shared" si="98"/>
        <v>1.0433183763493239</v>
      </c>
      <c r="G656">
        <f t="shared" si="99"/>
        <v>3.3239860170289157</v>
      </c>
      <c r="H656">
        <f t="shared" si="100"/>
        <v>1.1829030606851589</v>
      </c>
      <c r="I656" s="29">
        <f t="shared" si="101"/>
        <v>7.3706889845809812E-3</v>
      </c>
      <c r="J656">
        <f t="shared" si="102"/>
        <v>2.0632030128229522</v>
      </c>
    </row>
    <row r="657" spans="1:10" x14ac:dyDescent="0.25">
      <c r="A657">
        <f t="shared" si="95"/>
        <v>2.112326894080641</v>
      </c>
      <c r="B657">
        <f t="shared" si="96"/>
        <v>7.0627537828474333E-3</v>
      </c>
      <c r="D657" s="48">
        <f t="shared" si="103"/>
        <v>15.399999999999963</v>
      </c>
      <c r="E657" s="47">
        <f t="shared" si="97"/>
        <v>10.58727897217732</v>
      </c>
      <c r="F657">
        <f t="shared" si="98"/>
        <v>1.0247843567823789</v>
      </c>
      <c r="G657">
        <f t="shared" si="99"/>
        <v>3.2538099164175707</v>
      </c>
      <c r="H657">
        <f t="shared" si="100"/>
        <v>1.2110674192729007</v>
      </c>
      <c r="I657" s="29">
        <f t="shared" si="101"/>
        <v>7.0627537828474333E-3</v>
      </c>
      <c r="J657">
        <f t="shared" si="102"/>
        <v>2.112326894080641</v>
      </c>
    </row>
    <row r="658" spans="1:10" x14ac:dyDescent="0.25">
      <c r="A658">
        <f t="shared" si="95"/>
        <v>2.1614507753383299</v>
      </c>
      <c r="B658">
        <f t="shared" si="96"/>
        <v>6.7519705175642696E-3</v>
      </c>
      <c r="D658" s="48">
        <f t="shared" si="103"/>
        <v>15.499999999999963</v>
      </c>
      <c r="E658" s="47">
        <f t="shared" si="97"/>
        <v>10.121405570583175</v>
      </c>
      <c r="F658">
        <f t="shared" si="98"/>
        <v>1.0052408276382259</v>
      </c>
      <c r="G658">
        <f t="shared" si="99"/>
        <v>3.1814156551106576</v>
      </c>
      <c r="H658">
        <f t="shared" si="100"/>
        <v>1.2392317778606425</v>
      </c>
      <c r="I658" s="29">
        <f t="shared" si="101"/>
        <v>6.7519705175642696E-3</v>
      </c>
      <c r="J658">
        <f t="shared" si="102"/>
        <v>2.1614507753383299</v>
      </c>
    </row>
    <row r="659" spans="1:10" x14ac:dyDescent="0.25">
      <c r="A659">
        <f t="shared" si="95"/>
        <v>2.2105746565960187</v>
      </c>
      <c r="B659">
        <f t="shared" si="96"/>
        <v>6.4412191649612788E-3</v>
      </c>
      <c r="D659" s="48">
        <f t="shared" si="103"/>
        <v>15.599999999999962</v>
      </c>
      <c r="E659" s="47">
        <f t="shared" si="97"/>
        <v>9.6555800070502364</v>
      </c>
      <c r="F659">
        <f t="shared" si="98"/>
        <v>0.98477836680476061</v>
      </c>
      <c r="G659">
        <f t="shared" si="99"/>
        <v>3.1073429175181544</v>
      </c>
      <c r="H659">
        <f t="shared" si="100"/>
        <v>1.2673961364483846</v>
      </c>
      <c r="I659" s="29">
        <f t="shared" si="101"/>
        <v>6.4412191649612788E-3</v>
      </c>
      <c r="J659">
        <f t="shared" si="102"/>
        <v>2.2105746565960187</v>
      </c>
    </row>
    <row r="660" spans="1:10" x14ac:dyDescent="0.25">
      <c r="A660">
        <f t="shared" si="95"/>
        <v>2.2596985378537093</v>
      </c>
      <c r="B660">
        <f t="shared" si="96"/>
        <v>6.1333251563855601E-3</v>
      </c>
      <c r="D660" s="48">
        <f t="shared" si="103"/>
        <v>15.699999999999962</v>
      </c>
      <c r="E660" s="47">
        <f t="shared" si="97"/>
        <v>9.1940376875983354</v>
      </c>
      <c r="F660">
        <f t="shared" si="98"/>
        <v>0.96350627964949276</v>
      </c>
      <c r="G660">
        <f t="shared" si="99"/>
        <v>3.0321671602334748</v>
      </c>
      <c r="H660">
        <f t="shared" si="100"/>
        <v>1.2955604950361264</v>
      </c>
      <c r="I660" s="29">
        <f t="shared" si="101"/>
        <v>6.1333251563855601E-3</v>
      </c>
      <c r="J660">
        <f t="shared" si="102"/>
        <v>2.2596985378537093</v>
      </c>
    </row>
    <row r="661" spans="1:10" x14ac:dyDescent="0.25">
      <c r="A661">
        <f t="shared" si="95"/>
        <v>2.3088224191113991</v>
      </c>
      <c r="B661">
        <f t="shared" si="96"/>
        <v>5.8310322008797615E-3</v>
      </c>
      <c r="D661" s="48">
        <f t="shared" si="103"/>
        <v>15.799999999999962</v>
      </c>
      <c r="E661" s="47">
        <f t="shared" si="97"/>
        <v>8.7408915140708796</v>
      </c>
      <c r="F661">
        <f t="shared" si="98"/>
        <v>0.94155573010533533</v>
      </c>
      <c r="G661">
        <f t="shared" si="99"/>
        <v>2.956499875540481</v>
      </c>
      <c r="H661">
        <f t="shared" si="100"/>
        <v>1.3237248536238684</v>
      </c>
      <c r="I661" s="29">
        <f t="shared" si="101"/>
        <v>5.8310322008797615E-3</v>
      </c>
      <c r="J661">
        <f t="shared" si="102"/>
        <v>2.3088224191113991</v>
      </c>
    </row>
    <row r="662" spans="1:10" x14ac:dyDescent="0.25">
      <c r="A662">
        <f t="shared" si="95"/>
        <v>2.357946300369087</v>
      </c>
      <c r="B662">
        <f t="shared" si="96"/>
        <v>5.5369764626951624E-3</v>
      </c>
      <c r="D662" s="48">
        <f t="shared" si="103"/>
        <v>15.899999999999961</v>
      </c>
      <c r="E662" s="47">
        <f t="shared" si="97"/>
        <v>8.3000931754553235</v>
      </c>
      <c r="F662">
        <f t="shared" si="98"/>
        <v>0.91908296772052755</v>
      </c>
      <c r="G662">
        <f t="shared" si="99"/>
        <v>2.8809882289685467</v>
      </c>
      <c r="H662">
        <f t="shared" si="100"/>
        <v>1.3518892122116102</v>
      </c>
      <c r="I662" s="29">
        <f t="shared" si="101"/>
        <v>5.5369764626951624E-3</v>
      </c>
      <c r="J662">
        <f t="shared" si="102"/>
        <v>2.357946300369087</v>
      </c>
    </row>
    <row r="663" spans="1:10" x14ac:dyDescent="0.25">
      <c r="A663">
        <f t="shared" si="95"/>
        <v>2.4070701816267768</v>
      </c>
      <c r="B663">
        <f t="shared" si="96"/>
        <v>5.2536623249064543E-3</v>
      </c>
      <c r="D663" s="48">
        <f t="shared" si="103"/>
        <v>15.999999999999961</v>
      </c>
      <c r="E663" s="47">
        <f t="shared" si="97"/>
        <v>7.8753968168174833</v>
      </c>
      <c r="F663">
        <f t="shared" si="98"/>
        <v>0.89627244576479548</v>
      </c>
      <c r="G663">
        <f t="shared" si="99"/>
        <v>2.8063137416934487</v>
      </c>
      <c r="H663">
        <f t="shared" si="100"/>
        <v>1.380053570799352</v>
      </c>
      <c r="I663" s="29">
        <f t="shared" si="101"/>
        <v>5.2536623249064543E-3</v>
      </c>
      <c r="J663">
        <f t="shared" si="102"/>
        <v>2.4070701816267768</v>
      </c>
    </row>
    <row r="664" spans="1:10" x14ac:dyDescent="0.25">
      <c r="A664">
        <f t="shared" si="95"/>
        <v>2.4561940628844674</v>
      </c>
      <c r="B664">
        <f t="shared" si="96"/>
        <v>4.9834399498704706E-3</v>
      </c>
      <c r="D664" s="48">
        <f t="shared" si="103"/>
        <v>16.099999999999962</v>
      </c>
      <c r="E664" s="47">
        <f t="shared" si="97"/>
        <v>7.4703254017586289</v>
      </c>
      <c r="F664">
        <f t="shared" si="98"/>
        <v>0.87333951976857538</v>
      </c>
      <c r="G664">
        <f t="shared" si="99"/>
        <v>2.7331896022337396</v>
      </c>
      <c r="H664">
        <f t="shared" si="100"/>
        <v>1.4082179293870944</v>
      </c>
      <c r="I664" s="29">
        <f t="shared" si="101"/>
        <v>4.9834399498704706E-3</v>
      </c>
      <c r="J664">
        <f t="shared" si="102"/>
        <v>2.4561940628844674</v>
      </c>
    </row>
    <row r="665" spans="1:10" x14ac:dyDescent="0.25">
      <c r="A665">
        <f t="shared" si="95"/>
        <v>2.5053179441421571</v>
      </c>
      <c r="B665">
        <f t="shared" si="96"/>
        <v>4.7284848251455229E-3</v>
      </c>
      <c r="D665" s="48">
        <f t="shared" si="103"/>
        <v>16.199999999999964</v>
      </c>
      <c r="E665" s="47">
        <f t="shared" si="97"/>
        <v>7.088140051137354</v>
      </c>
      <c r="F665">
        <f t="shared" si="98"/>
        <v>0.85053228997877461</v>
      </c>
      <c r="G665">
        <f t="shared" si="99"/>
        <v>2.6623561090014527</v>
      </c>
      <c r="H665">
        <f t="shared" si="100"/>
        <v>1.4363822879748369</v>
      </c>
      <c r="I665" s="29">
        <f t="shared" si="101"/>
        <v>4.7284848251455229E-3</v>
      </c>
      <c r="J665">
        <f t="shared" si="102"/>
        <v>2.5053179441421571</v>
      </c>
    </row>
    <row r="666" spans="1:10" x14ac:dyDescent="0.25">
      <c r="A666">
        <f t="shared" si="95"/>
        <v>2.5544418253998478</v>
      </c>
      <c r="B666">
        <f t="shared" si="96"/>
        <v>4.4907794599158357E-3</v>
      </c>
      <c r="D666" s="48">
        <f t="shared" si="103"/>
        <v>16.299999999999965</v>
      </c>
      <c r="E666" s="47">
        <f t="shared" si="97"/>
        <v>6.7318126054628458</v>
      </c>
      <c r="F666">
        <f t="shared" si="98"/>
        <v>0.82813201794755187</v>
      </c>
      <c r="G666">
        <f t="shared" si="99"/>
        <v>2.5945736847241099</v>
      </c>
      <c r="H666">
        <f t="shared" si="100"/>
        <v>1.4645466465625792</v>
      </c>
      <c r="I666" s="29">
        <f t="shared" si="101"/>
        <v>4.4907794599158357E-3</v>
      </c>
      <c r="J666">
        <f t="shared" si="102"/>
        <v>2.5544418253998478</v>
      </c>
    </row>
    <row r="667" spans="1:10" x14ac:dyDescent="0.25">
      <c r="A667">
        <f t="shared" si="95"/>
        <v>2.6035657066575375</v>
      </c>
      <c r="B667">
        <f t="shared" si="96"/>
        <v>4.2720973722113181E-3</v>
      </c>
      <c r="D667" s="48">
        <f t="shared" si="103"/>
        <v>16.399999999999967</v>
      </c>
      <c r="E667" s="47">
        <f t="shared" si="97"/>
        <v>6.4040016212588267</v>
      </c>
      <c r="F667">
        <f t="shared" si="98"/>
        <v>0.80645143319474388</v>
      </c>
      <c r="G667">
        <f t="shared" si="99"/>
        <v>2.5306128943911643</v>
      </c>
      <c r="H667">
        <f t="shared" si="100"/>
        <v>1.4927110051503216</v>
      </c>
      <c r="I667" s="29">
        <f t="shared" si="101"/>
        <v>4.2720973722113181E-3</v>
      </c>
      <c r="J667">
        <f t="shared" si="102"/>
        <v>2.6035657066575375</v>
      </c>
    </row>
    <row r="668" spans="1:10" x14ac:dyDescent="0.25">
      <c r="A668">
        <f t="shared" si="95"/>
        <v>2.6526895879152281</v>
      </c>
      <c r="B668">
        <f t="shared" si="96"/>
        <v>4.0739894815470523E-3</v>
      </c>
      <c r="D668" s="48">
        <f t="shared" si="103"/>
        <v>16.499999999999968</v>
      </c>
      <c r="E668" s="47">
        <f t="shared" si="97"/>
        <v>6.1070319732235268</v>
      </c>
      <c r="F668">
        <f t="shared" si="98"/>
        <v>0.78583019374045326</v>
      </c>
      <c r="G668">
        <f t="shared" si="99"/>
        <v>2.4712409783797953</v>
      </c>
      <c r="H668">
        <f t="shared" si="100"/>
        <v>1.5208753637380641</v>
      </c>
      <c r="I668" s="29">
        <f t="shared" si="101"/>
        <v>4.0739894815470523E-3</v>
      </c>
      <c r="J668">
        <f t="shared" si="102"/>
        <v>2.6526895879152281</v>
      </c>
    </row>
    <row r="669" spans="1:10" x14ac:dyDescent="0.25">
      <c r="A669">
        <f t="shared" si="95"/>
        <v>2.7018134691729179</v>
      </c>
      <c r="B669">
        <f t="shared" si="96"/>
        <v>3.8977729953040175E-3</v>
      </c>
      <c r="D669" s="48">
        <f t="shared" si="103"/>
        <v>16.599999999999969</v>
      </c>
      <c r="E669" s="47">
        <f t="shared" si="97"/>
        <v>5.842878194582287</v>
      </c>
      <c r="F669">
        <f t="shared" si="98"/>
        <v>0.76662683274665855</v>
      </c>
      <c r="G669">
        <f t="shared" si="99"/>
        <v>2.4172046240610841</v>
      </c>
      <c r="H669">
        <f t="shared" si="100"/>
        <v>1.5490397223258063</v>
      </c>
      <c r="I669" s="29">
        <f t="shared" si="101"/>
        <v>3.8977729953040175E-3</v>
      </c>
      <c r="J669">
        <f t="shared" si="102"/>
        <v>2.7018134691729179</v>
      </c>
    </row>
    <row r="670" spans="1:10" x14ac:dyDescent="0.25">
      <c r="A670">
        <f t="shared" si="95"/>
        <v>2.7509373504306076</v>
      </c>
      <c r="B670">
        <f t="shared" si="96"/>
        <v>3.7445228505081194E-3</v>
      </c>
      <c r="D670" s="48">
        <f t="shared" si="103"/>
        <v>16.699999999999971</v>
      </c>
      <c r="E670" s="47">
        <f t="shared" si="97"/>
        <v>5.6131516480585866</v>
      </c>
      <c r="F670">
        <f t="shared" si="98"/>
        <v>0.74920677552189452</v>
      </c>
      <c r="G670">
        <f t="shared" si="99"/>
        <v>2.369209076476491</v>
      </c>
      <c r="H670">
        <f t="shared" si="100"/>
        <v>1.5772040809135488</v>
      </c>
      <c r="I670" s="29">
        <f t="shared" si="101"/>
        <v>3.7445228505081194E-3</v>
      </c>
      <c r="J670">
        <f t="shared" si="102"/>
        <v>2.7509373504306076</v>
      </c>
    </row>
    <row r="671" spans="1:10" x14ac:dyDescent="0.25">
      <c r="A671">
        <f t="shared" si="95"/>
        <v>2.8000612316882991</v>
      </c>
      <c r="B671">
        <f t="shared" si="96"/>
        <v>3.6150657459120801E-3</v>
      </c>
      <c r="D671" s="48">
        <f t="shared" si="103"/>
        <v>16.799999999999972</v>
      </c>
      <c r="E671" s="47">
        <f t="shared" si="97"/>
        <v>5.4190915797864587</v>
      </c>
      <c r="F671">
        <f t="shared" si="98"/>
        <v>0.7339264904218471</v>
      </c>
      <c r="G671">
        <f t="shared" si="99"/>
        <v>2.3278942372424178</v>
      </c>
      <c r="H671">
        <f t="shared" si="100"/>
        <v>1.6053684395012913</v>
      </c>
      <c r="I671" s="29">
        <f t="shared" si="101"/>
        <v>3.6150657459120801E-3</v>
      </c>
      <c r="J671">
        <f t="shared" si="102"/>
        <v>2.8000612316882991</v>
      </c>
    </row>
    <row r="672" spans="1:10" x14ac:dyDescent="0.25">
      <c r="A672">
        <f t="shared" si="95"/>
        <v>2.849185112945988</v>
      </c>
      <c r="B672">
        <f t="shared" si="96"/>
        <v>3.5099767727132356E-3</v>
      </c>
      <c r="D672" s="48">
        <f t="shared" si="103"/>
        <v>16.899999999999974</v>
      </c>
      <c r="E672" s="47">
        <f t="shared" si="97"/>
        <v>5.2615600686557853</v>
      </c>
      <c r="F672">
        <f t="shared" si="98"/>
        <v>0.7211145328902272</v>
      </c>
      <c r="G672">
        <f t="shared" si="99"/>
        <v>2.2938090741506332</v>
      </c>
      <c r="H672">
        <f t="shared" si="100"/>
        <v>1.6335327980890335</v>
      </c>
      <c r="I672" s="29">
        <f t="shared" si="101"/>
        <v>3.5099767727132356E-3</v>
      </c>
      <c r="J672">
        <f t="shared" si="102"/>
        <v>2.849185112945988</v>
      </c>
    </row>
    <row r="673" spans="1:10" x14ac:dyDescent="0.25">
      <c r="A673">
        <f t="shared" si="95"/>
        <v>2.8983089942036795</v>
      </c>
      <c r="B673">
        <f t="shared" si="96"/>
        <v>3.4295786261116547E-3</v>
      </c>
      <c r="D673" s="48">
        <f t="shared" si="103"/>
        <v>16.999999999999975</v>
      </c>
      <c r="E673" s="47">
        <f t="shared" si="97"/>
        <v>5.1410408444143627</v>
      </c>
      <c r="F673">
        <f t="shared" si="98"/>
        <v>0.71105105425281678</v>
      </c>
      <c r="G673">
        <f t="shared" si="99"/>
        <v>2.2673863465264059</v>
      </c>
      <c r="H673">
        <f t="shared" si="100"/>
        <v>1.661697156676776</v>
      </c>
      <c r="I673" s="29">
        <f t="shared" si="101"/>
        <v>3.4295786261116547E-3</v>
      </c>
      <c r="J673">
        <f t="shared" si="102"/>
        <v>2.8983089942036795</v>
      </c>
    </row>
    <row r="674" spans="1:10" x14ac:dyDescent="0.25">
      <c r="A674">
        <f t="shared" si="95"/>
        <v>2.9474328754613692</v>
      </c>
      <c r="B674">
        <f t="shared" si="96"/>
        <v>3.3739433544795979E-3</v>
      </c>
      <c r="D674" s="48">
        <f t="shared" si="103"/>
        <v>17.099999999999977</v>
      </c>
      <c r="E674" s="47">
        <f t="shared" si="97"/>
        <v>5.0576419097251835</v>
      </c>
      <c r="F674">
        <f t="shared" si="98"/>
        <v>0.70394807725518771</v>
      </c>
      <c r="G674">
        <f t="shared" si="99"/>
        <v>2.2489201652626942</v>
      </c>
      <c r="H674">
        <f t="shared" si="100"/>
        <v>1.6898615152645184</v>
      </c>
      <c r="I674" s="29">
        <f t="shared" si="101"/>
        <v>3.3739433544795979E-3</v>
      </c>
      <c r="J674">
        <f t="shared" si="102"/>
        <v>2.9474328754613692</v>
      </c>
    </row>
    <row r="675" spans="1:10" x14ac:dyDescent="0.25">
      <c r="A675">
        <f t="shared" si="95"/>
        <v>2.9965567567190581</v>
      </c>
      <c r="B675">
        <f t="shared" si="96"/>
        <v>3.3428965784153665E-3</v>
      </c>
      <c r="D675" s="48">
        <f t="shared" si="103"/>
        <v>17.199999999999978</v>
      </c>
      <c r="E675" s="47">
        <f t="shared" si="97"/>
        <v>5.0111018646542345</v>
      </c>
      <c r="F675">
        <f t="shared" si="98"/>
        <v>0.69993323108164829</v>
      </c>
      <c r="G675">
        <f t="shared" si="99"/>
        <v>2.2385490534393555</v>
      </c>
      <c r="H675">
        <f t="shared" si="100"/>
        <v>1.7180258738522607</v>
      </c>
      <c r="I675" s="29">
        <f t="shared" si="101"/>
        <v>3.3428965784153665E-3</v>
      </c>
      <c r="J675">
        <f t="shared" si="102"/>
        <v>2.9965567567190581</v>
      </c>
    </row>
    <row r="676" spans="1:10" x14ac:dyDescent="0.25">
      <c r="D676" s="48">
        <f>AVERAGE(D553:D675)</f>
        <v>11.09999999999998</v>
      </c>
      <c r="E676" s="47">
        <f>SUM(E553:E675)</f>
        <v>1499.0298823512055</v>
      </c>
      <c r="F676">
        <f t="shared" si="98"/>
        <v>3.1758102903605421</v>
      </c>
      <c r="G676">
        <f t="shared" si="99"/>
        <v>38.717307271441356</v>
      </c>
    </row>
    <row r="677" spans="1:10" x14ac:dyDescent="0.25">
      <c r="D677" s="48">
        <f>STDEV(D553:D676)</f>
        <v>3.5505868059613164</v>
      </c>
      <c r="E677" s="46"/>
    </row>
    <row r="678" spans="1:10" x14ac:dyDescent="0.25">
      <c r="E678" s="46"/>
    </row>
    <row r="679" spans="1:10" x14ac:dyDescent="0.25">
      <c r="C679" t="s">
        <v>28</v>
      </c>
      <c r="D679" t="s">
        <v>4</v>
      </c>
    </row>
    <row r="680" spans="1:10" x14ac:dyDescent="0.25">
      <c r="C680">
        <v>0.1</v>
      </c>
      <c r="D680" s="48">
        <v>7</v>
      </c>
      <c r="E680" s="47">
        <f>-((SIN(D680)+1)*COS(D680))+1.3</f>
        <v>5.0794067809260435E-2</v>
      </c>
      <c r="F680">
        <f>LOG10(E680)</f>
        <v>-1.2941870055928677</v>
      </c>
      <c r="G680">
        <f>SQRT(E680)</f>
        <v>0.22537539308731208</v>
      </c>
    </row>
    <row r="681" spans="1:10" x14ac:dyDescent="0.25">
      <c r="D681" s="48">
        <f>D680+$C$553</f>
        <v>7.1</v>
      </c>
      <c r="E681" s="47">
        <f t="shared" ref="E681:E740" si="104">-((SIN(D681)+1)*COS(D681))+1.3</f>
        <v>0.1164400071990126</v>
      </c>
      <c r="F681">
        <f t="shared" ref="F681:F740" si="105">LOG10(E681)</f>
        <v>-0.93389777638256255</v>
      </c>
      <c r="G681">
        <f t="shared" ref="G681:G740" si="106">SQRT(E681)</f>
        <v>0.34123306873603648</v>
      </c>
    </row>
    <row r="682" spans="1:10" x14ac:dyDescent="0.25">
      <c r="D682" s="48">
        <f t="shared" ref="D682:D740" si="107">D681+$C$553</f>
        <v>7.1999999999999993</v>
      </c>
      <c r="E682" s="47">
        <f t="shared" si="104"/>
        <v>0.20881979719310584</v>
      </c>
      <c r="F682">
        <f t="shared" si="105"/>
        <v>-0.68022833036253538</v>
      </c>
      <c r="G682">
        <f t="shared" si="106"/>
        <v>0.45696804832844257</v>
      </c>
    </row>
    <row r="683" spans="1:10" x14ac:dyDescent="0.25">
      <c r="D683" s="48">
        <f t="shared" si="107"/>
        <v>7.2999999999999989</v>
      </c>
      <c r="E683" s="47">
        <f t="shared" si="104"/>
        <v>0.32652689654864153</v>
      </c>
      <c r="F683">
        <f t="shared" si="105"/>
        <v>-0.48608103937649783</v>
      </c>
      <c r="G683">
        <f t="shared" si="106"/>
        <v>0.57142532018509784</v>
      </c>
    </row>
    <row r="684" spans="1:10" x14ac:dyDescent="0.25">
      <c r="D684" s="48">
        <f t="shared" si="107"/>
        <v>7.3999999999999986</v>
      </c>
      <c r="E684" s="47">
        <f t="shared" si="104"/>
        <v>0.46732663873794889</v>
      </c>
      <c r="F684">
        <f t="shared" si="105"/>
        <v>-0.33037946244421262</v>
      </c>
      <c r="G684">
        <f t="shared" si="106"/>
        <v>0.68361293049352778</v>
      </c>
    </row>
    <row r="685" spans="1:10" x14ac:dyDescent="0.25">
      <c r="D685" s="48">
        <f t="shared" si="107"/>
        <v>7.4999999999999982</v>
      </c>
      <c r="E685" s="47">
        <f t="shared" si="104"/>
        <v>0.62822076208641275</v>
      </c>
      <c r="F685">
        <f t="shared" si="105"/>
        <v>-0.20188771468924757</v>
      </c>
      <c r="G685">
        <f t="shared" si="106"/>
        <v>0.79260378631849393</v>
      </c>
    </row>
    <row r="686" spans="1:10" x14ac:dyDescent="0.25">
      <c r="D686" s="48">
        <f t="shared" si="107"/>
        <v>7.5999999999999979</v>
      </c>
      <c r="E686" s="47">
        <f t="shared" si="104"/>
        <v>0.80554081299084124</v>
      </c>
      <c r="F686">
        <f t="shared" si="105"/>
        <v>-9.3912451014239395E-2</v>
      </c>
      <c r="G686">
        <f t="shared" si="106"/>
        <v>0.89751925494155349</v>
      </c>
    </row>
    <row r="687" spans="1:10" x14ac:dyDescent="0.25">
      <c r="D687" s="48">
        <f t="shared" si="107"/>
        <v>7.6999999999999975</v>
      </c>
      <c r="E687" s="47">
        <f t="shared" si="104"/>
        <v>0.99506695958927938</v>
      </c>
      <c r="F687">
        <f t="shared" si="105"/>
        <v>-2.1476939259453746E-3</v>
      </c>
      <c r="G687">
        <f t="shared" si="106"/>
        <v>0.99753043040765399</v>
      </c>
    </row>
    <row r="688" spans="1:10" x14ac:dyDescent="0.25">
      <c r="D688" s="48">
        <f t="shared" si="107"/>
        <v>7.7999999999999972</v>
      </c>
      <c r="E688" s="47">
        <f t="shared" si="104"/>
        <v>1.1921677532876229</v>
      </c>
      <c r="F688">
        <f t="shared" si="105"/>
        <v>7.633737050583371E-2</v>
      </c>
      <c r="G688">
        <f t="shared" si="106"/>
        <v>1.0918643474752818</v>
      </c>
    </row>
    <row r="689" spans="4:7" x14ac:dyDescent="0.25">
      <c r="D689" s="48">
        <f t="shared" si="107"/>
        <v>7.8999999999999968</v>
      </c>
      <c r="E689" s="47">
        <f t="shared" si="104"/>
        <v>1.3919555507533707</v>
      </c>
      <c r="F689">
        <f t="shared" si="105"/>
        <v>0.14362536719210767</v>
      </c>
      <c r="G689">
        <f t="shared" si="106"/>
        <v>1.1798116590173919</v>
      </c>
    </row>
    <row r="690" spans="4:7" x14ac:dyDescent="0.25">
      <c r="D690" s="48">
        <f t="shared" si="107"/>
        <v>7.9999999999999964</v>
      </c>
      <c r="E690" s="47">
        <f t="shared" si="104"/>
        <v>1.5894516921411392</v>
      </c>
      <c r="F690">
        <f t="shared" si="105"/>
        <v>0.20124733303383646</v>
      </c>
      <c r="G690">
        <f t="shared" si="106"/>
        <v>1.2607345843361082</v>
      </c>
    </row>
    <row r="691" spans="4:7" x14ac:dyDescent="0.25">
      <c r="D691" s="48">
        <f t="shared" si="107"/>
        <v>8.0999999999999961</v>
      </c>
      <c r="E691" s="47">
        <f t="shared" si="104"/>
        <v>1.7797551469350177</v>
      </c>
      <c r="F691">
        <f t="shared" si="105"/>
        <v>0.25036025756197894</v>
      </c>
      <c r="G691">
        <f t="shared" si="106"/>
        <v>1.3340746406910737</v>
      </c>
    </row>
    <row r="692" spans="4:7" x14ac:dyDescent="0.25">
      <c r="D692" s="48">
        <f t="shared" si="107"/>
        <v>8.1999999999999957</v>
      </c>
      <c r="E692" s="47">
        <f t="shared" si="104"/>
        <v>1.9582082021578022</v>
      </c>
      <c r="F692">
        <f t="shared" si="105"/>
        <v>0.29185886532267286</v>
      </c>
      <c r="G692">
        <f t="shared" si="106"/>
        <v>1.3993599258796152</v>
      </c>
    </row>
    <row r="693" spans="4:7" x14ac:dyDescent="0.25">
      <c r="D693" s="48">
        <f t="shared" si="107"/>
        <v>8.2999999999999954</v>
      </c>
      <c r="E693" s="47">
        <f t="shared" si="104"/>
        <v>2.1205528842377621</v>
      </c>
      <c r="F693">
        <f t="shared" si="105"/>
        <v>0.32644910775363811</v>
      </c>
      <c r="G693">
        <f t="shared" si="106"/>
        <v>1.4562118267057722</v>
      </c>
    </row>
    <row r="694" spans="4:7" x14ac:dyDescent="0.25">
      <c r="D694" s="48">
        <f t="shared" si="107"/>
        <v>8.399999999999995</v>
      </c>
      <c r="E694" s="47">
        <f t="shared" si="104"/>
        <v>2.2630721709074306</v>
      </c>
      <c r="F694">
        <f t="shared" si="105"/>
        <v>0.35469840412134995</v>
      </c>
      <c r="G694">
        <f t="shared" si="106"/>
        <v>1.5043510796710422</v>
      </c>
    </row>
    <row r="695" spans="4:7" x14ac:dyDescent="0.25">
      <c r="D695" s="48">
        <f t="shared" si="107"/>
        <v>8.4999999999999947</v>
      </c>
      <c r="E695" s="47">
        <f t="shared" si="104"/>
        <v>2.3827106486245961</v>
      </c>
      <c r="F695">
        <f t="shared" si="105"/>
        <v>0.37707130573901659</v>
      </c>
      <c r="G695">
        <f t="shared" si="106"/>
        <v>1.5436031383178113</v>
      </c>
    </row>
    <row r="696" spans="4:7" x14ac:dyDescent="0.25">
      <c r="D696" s="48">
        <f t="shared" si="107"/>
        <v>8.5999999999999943</v>
      </c>
      <c r="E696" s="47">
        <f t="shared" si="104"/>
        <v>2.4771700803408061</v>
      </c>
      <c r="F696">
        <f t="shared" si="105"/>
        <v>0.39395582589051303</v>
      </c>
      <c r="G696">
        <f t="shared" si="106"/>
        <v>1.5739028179467771</v>
      </c>
    </row>
    <row r="697" spans="4:7" x14ac:dyDescent="0.25">
      <c r="D697" s="48">
        <f t="shared" si="107"/>
        <v>8.699999999999994</v>
      </c>
      <c r="E697" s="47">
        <f t="shared" si="104"/>
        <v>2.5449763358327124</v>
      </c>
      <c r="F697">
        <f t="shared" si="105"/>
        <v>0.4056837484546823</v>
      </c>
      <c r="G697">
        <f t="shared" si="106"/>
        <v>1.5952981965239954</v>
      </c>
    </row>
    <row r="698" spans="4:7" x14ac:dyDescent="0.25">
      <c r="D698" s="48">
        <f t="shared" si="107"/>
        <v>8.7999999999999936</v>
      </c>
      <c r="E698" s="47">
        <f t="shared" si="104"/>
        <v>2.5855152630207163</v>
      </c>
      <c r="F698">
        <f t="shared" si="105"/>
        <v>0.41254710587761434</v>
      </c>
      <c r="G698">
        <f t="shared" si="106"/>
        <v>1.6079537502741539</v>
      </c>
    </row>
    <row r="699" spans="4:7" x14ac:dyDescent="0.25">
      <c r="D699" s="48">
        <f t="shared" si="107"/>
        <v>8.8999999999999932</v>
      </c>
      <c r="E699" s="47">
        <f t="shared" si="104"/>
        <v>2.5990362989839033</v>
      </c>
      <c r="F699">
        <f t="shared" si="105"/>
        <v>0.41481234504095937</v>
      </c>
      <c r="G699">
        <f t="shared" si="106"/>
        <v>1.6121526909644457</v>
      </c>
    </row>
    <row r="700" spans="4:7" x14ac:dyDescent="0.25">
      <c r="D700" s="48">
        <f t="shared" si="107"/>
        <v>8.9999999999999929</v>
      </c>
      <c r="E700" s="47">
        <f t="shared" si="104"/>
        <v>2.5866238852705168</v>
      </c>
      <c r="F700">
        <f t="shared" si="105"/>
        <v>0.4127332835960294</v>
      </c>
      <c r="G700">
        <f t="shared" si="106"/>
        <v>1.6082984440925499</v>
      </c>
    </row>
    <row r="701" spans="4:7" x14ac:dyDescent="0.25">
      <c r="D701" s="48">
        <f t="shared" si="107"/>
        <v>9.0999999999999925</v>
      </c>
      <c r="E701" s="47">
        <f t="shared" si="104"/>
        <v>2.5501380133342577</v>
      </c>
      <c r="F701">
        <f t="shared" si="105"/>
        <v>0.4065636850643613</v>
      </c>
      <c r="G701">
        <f t="shared" si="106"/>
        <v>1.5969151553336383</v>
      </c>
    </row>
    <row r="702" spans="4:7" x14ac:dyDescent="0.25">
      <c r="D702" s="48">
        <f t="shared" si="107"/>
        <v>9.1999999999999922</v>
      </c>
      <c r="E702" s="47">
        <f t="shared" si="104"/>
        <v>2.4921264324401164</v>
      </c>
      <c r="F702">
        <f t="shared" si="105"/>
        <v>0.39657007150166346</v>
      </c>
      <c r="G702">
        <f t="shared" si="106"/>
        <v>1.5786470259181171</v>
      </c>
    </row>
    <row r="703" spans="4:7" x14ac:dyDescent="0.25">
      <c r="D703" s="48">
        <f t="shared" si="107"/>
        <v>9.2999999999999918</v>
      </c>
      <c r="E703" s="47">
        <f t="shared" si="104"/>
        <v>2.4157121563209216</v>
      </c>
      <c r="F703">
        <f t="shared" si="105"/>
        <v>0.38304518476329757</v>
      </c>
      <c r="G703">
        <f t="shared" si="106"/>
        <v>1.554256142442719</v>
      </c>
    </row>
    <row r="704" spans="4:7" x14ac:dyDescent="0.25">
      <c r="D704" s="48">
        <f t="shared" si="107"/>
        <v>9.3999999999999915</v>
      </c>
      <c r="E704" s="47">
        <f t="shared" si="104"/>
        <v>2.3244608624743988</v>
      </c>
      <c r="F704">
        <f t="shared" si="105"/>
        <v>0.36632223825647037</v>
      </c>
      <c r="G704">
        <f t="shared" si="106"/>
        <v>1.5246182677884976</v>
      </c>
    </row>
    <row r="705" spans="4:7" x14ac:dyDescent="0.25">
      <c r="D705" s="48">
        <f t="shared" si="107"/>
        <v>9.4999999999999911</v>
      </c>
      <c r="E705" s="47">
        <f t="shared" si="104"/>
        <v>2.2222335513649116</v>
      </c>
      <c r="F705">
        <f t="shared" si="105"/>
        <v>0.34678970030188211</v>
      </c>
      <c r="G705">
        <f t="shared" si="106"/>
        <v>1.4907157849049937</v>
      </c>
    </row>
    <row r="706" spans="4:7" x14ac:dyDescent="0.25">
      <c r="D706" s="48">
        <f t="shared" si="107"/>
        <v>9.5999999999999908</v>
      </c>
      <c r="E706" s="47">
        <f t="shared" si="104"/>
        <v>2.1130303913841892</v>
      </c>
      <c r="F706">
        <f t="shared" si="105"/>
        <v>0.32490574348654533</v>
      </c>
      <c r="G706">
        <f t="shared" si="106"/>
        <v>1.4536266341066364</v>
      </c>
    </row>
    <row r="707" spans="4:7" x14ac:dyDescent="0.25">
      <c r="D707" s="48">
        <f t="shared" si="107"/>
        <v>9.6999999999999904</v>
      </c>
      <c r="E707" s="47">
        <f t="shared" si="104"/>
        <v>2.000831997252472</v>
      </c>
      <c r="F707">
        <f t="shared" si="105"/>
        <v>0.30121062400386855</v>
      </c>
      <c r="G707">
        <f t="shared" si="106"/>
        <v>1.4145076872369666</v>
      </c>
    </row>
    <row r="708" spans="4:7" x14ac:dyDescent="0.25">
      <c r="D708" s="48">
        <f t="shared" si="107"/>
        <v>9.7999999999999901</v>
      </c>
      <c r="E708" s="47">
        <f t="shared" si="104"/>
        <v>1.8894444620706972</v>
      </c>
      <c r="F708">
        <f t="shared" si="105"/>
        <v>0.27633413088086317</v>
      </c>
      <c r="G708">
        <f t="shared" si="106"/>
        <v>1.3745706464458991</v>
      </c>
    </row>
    <row r="709" spans="4:7" x14ac:dyDescent="0.25">
      <c r="D709" s="48">
        <f t="shared" si="107"/>
        <v>9.8999999999999897</v>
      </c>
      <c r="E709" s="47">
        <f t="shared" si="104"/>
        <v>1.7823542838718194</v>
      </c>
      <c r="F709">
        <f t="shared" si="105"/>
        <v>0.2509940342898509</v>
      </c>
      <c r="G709">
        <f t="shared" si="106"/>
        <v>1.3350484200476849</v>
      </c>
    </row>
    <row r="710" spans="4:7" x14ac:dyDescent="0.25">
      <c r="D710" s="48">
        <f t="shared" si="107"/>
        <v>9.9999999999999893</v>
      </c>
      <c r="E710" s="47">
        <f t="shared" si="104"/>
        <v>1.6825989037126488</v>
      </c>
      <c r="F710">
        <f t="shared" si="105"/>
        <v>0.22598060161768624</v>
      </c>
      <c r="G710">
        <f t="shared" si="106"/>
        <v>1.2971503011265304</v>
      </c>
    </row>
    <row r="711" spans="4:7" x14ac:dyDescent="0.25">
      <c r="D711" s="48">
        <f t="shared" si="107"/>
        <v>10.099999999999989</v>
      </c>
      <c r="E711" s="47">
        <f t="shared" si="104"/>
        <v>1.592657921285705</v>
      </c>
      <c r="F711">
        <f t="shared" si="105"/>
        <v>0.20212250596347994</v>
      </c>
      <c r="G711">
        <f t="shared" si="106"/>
        <v>1.2620055155528065</v>
      </c>
    </row>
    <row r="712" spans="4:7" x14ac:dyDescent="0.25">
      <c r="D712" s="48">
        <f t="shared" si="107"/>
        <v>10.199999999999989</v>
      </c>
      <c r="E712" s="47">
        <f t="shared" si="104"/>
        <v>1.5143692019558734</v>
      </c>
      <c r="F712">
        <f t="shared" si="105"/>
        <v>0.18023176870757207</v>
      </c>
      <c r="G712">
        <f t="shared" si="106"/>
        <v>1.2305970916412379</v>
      </c>
    </row>
    <row r="713" spans="4:7" x14ac:dyDescent="0.25">
      <c r="D713" s="48">
        <f t="shared" si="107"/>
        <v>10.299999999999988</v>
      </c>
      <c r="E713" s="47">
        <f t="shared" si="104"/>
        <v>1.4488730702856927</v>
      </c>
      <c r="F713">
        <f t="shared" si="105"/>
        <v>0.16103034041315342</v>
      </c>
      <c r="G713">
        <f t="shared" si="106"/>
        <v>1.2036914348310752</v>
      </c>
    </row>
    <row r="714" spans="4:7" x14ac:dyDescent="0.25">
      <c r="D714" s="48">
        <f t="shared" si="107"/>
        <v>10.399999999999988</v>
      </c>
      <c r="E714" s="47">
        <f t="shared" si="104"/>
        <v>1.3965866403886142</v>
      </c>
      <c r="F714">
        <f t="shared" si="105"/>
        <v>0.14506788330627524</v>
      </c>
      <c r="G714">
        <f t="shared" si="106"/>
        <v>1.1817726686586614</v>
      </c>
    </row>
    <row r="715" spans="4:7" x14ac:dyDescent="0.25">
      <c r="D715" s="48">
        <f t="shared" si="107"/>
        <v>10.499999999999988</v>
      </c>
      <c r="E715" s="47">
        <f t="shared" si="104"/>
        <v>1.3572091087279687</v>
      </c>
      <c r="F715">
        <f t="shared" si="105"/>
        <v>0.13264676569236933</v>
      </c>
      <c r="G715">
        <f t="shared" si="106"/>
        <v>1.1649931796916104</v>
      </c>
    </row>
    <row r="716" spans="4:7" x14ac:dyDescent="0.25">
      <c r="D716" s="48">
        <f t="shared" si="107"/>
        <v>10.599999999999987</v>
      </c>
      <c r="E716" s="47">
        <f t="shared" si="104"/>
        <v>1.3297575793188412</v>
      </c>
      <c r="F716">
        <f t="shared" si="105"/>
        <v>0.12377247438044899</v>
      </c>
      <c r="G716">
        <f t="shared" si="106"/>
        <v>1.153151151982619</v>
      </c>
    </row>
    <row r="717" spans="4:7" x14ac:dyDescent="0.25">
      <c r="D717" s="48">
        <f t="shared" si="107"/>
        <v>10.699999999999987</v>
      </c>
      <c r="E717" s="47">
        <f t="shared" si="104"/>
        <v>1.3126317549625164</v>
      </c>
      <c r="F717">
        <f t="shared" si="105"/>
        <v>0.11814290642568703</v>
      </c>
      <c r="G717">
        <f t="shared" si="106"/>
        <v>1.1457014248758339</v>
      </c>
    </row>
    <row r="718" spans="4:7" x14ac:dyDescent="0.25">
      <c r="D718" s="48">
        <f t="shared" si="107"/>
        <v>10.799999999999986</v>
      </c>
      <c r="E718" s="47">
        <f t="shared" si="104"/>
        <v>1.3037046606278655</v>
      </c>
      <c r="F718">
        <f t="shared" si="105"/>
        <v>0.11517921809305634</v>
      </c>
      <c r="G718">
        <f t="shared" si="106"/>
        <v>1.1417988704793263</v>
      </c>
    </row>
    <row r="719" spans="4:7" x14ac:dyDescent="0.25">
      <c r="D719" s="48">
        <f t="shared" si="107"/>
        <v>10.899999999999986</v>
      </c>
      <c r="E719" s="47">
        <f t="shared" si="104"/>
        <v>1.3004355131032321</v>
      </c>
      <c r="F719">
        <f t="shared" si="105"/>
        <v>0.11408882097033225</v>
      </c>
      <c r="G719">
        <f t="shared" si="106"/>
        <v>1.1403663942361824</v>
      </c>
    </row>
    <row r="720" spans="4:7" x14ac:dyDescent="0.25">
      <c r="D720" s="48">
        <f t="shared" si="107"/>
        <v>10.999999999999986</v>
      </c>
      <c r="E720" s="47">
        <f t="shared" si="104"/>
        <v>1.2999999566571512</v>
      </c>
      <c r="F720">
        <f t="shared" si="105"/>
        <v>0.11394333782717493</v>
      </c>
      <c r="G720">
        <f t="shared" si="106"/>
        <v>1.1401754060920413</v>
      </c>
    </row>
    <row r="721" spans="4:7" x14ac:dyDescent="0.25">
      <c r="D721" s="48">
        <f t="shared" si="107"/>
        <v>11.099999999999985</v>
      </c>
      <c r="E721" s="47">
        <f t="shared" si="104"/>
        <v>1.2994321834376827</v>
      </c>
      <c r="F721">
        <f t="shared" si="105"/>
        <v>0.11375361886794109</v>
      </c>
      <c r="G721">
        <f t="shared" si="106"/>
        <v>1.1399263938683422</v>
      </c>
    </row>
    <row r="722" spans="4:7" x14ac:dyDescent="0.25">
      <c r="D722" s="48">
        <f t="shared" si="107"/>
        <v>11.199999999999985</v>
      </c>
      <c r="E722" s="47">
        <f t="shared" si="104"/>
        <v>1.2957729777419669</v>
      </c>
      <c r="F722">
        <f t="shared" si="105"/>
        <v>0.11252891885678455</v>
      </c>
      <c r="G722">
        <f t="shared" si="106"/>
        <v>1.1383202439304885</v>
      </c>
    </row>
    <row r="723" spans="4:7" x14ac:dyDescent="0.25">
      <c r="D723" s="48">
        <f t="shared" si="107"/>
        <v>11.299999999999985</v>
      </c>
      <c r="E723" s="47">
        <f t="shared" si="104"/>
        <v>1.2862174842777692</v>
      </c>
      <c r="F723">
        <f t="shared" si="105"/>
        <v>0.1093144088960608</v>
      </c>
      <c r="G723">
        <f t="shared" si="106"/>
        <v>1.1341152870311595</v>
      </c>
    </row>
    <row r="724" spans="4:7" x14ac:dyDescent="0.25">
      <c r="D724" s="48">
        <f t="shared" si="107"/>
        <v>11.399999999999984</v>
      </c>
      <c r="E724" s="47">
        <f t="shared" si="104"/>
        <v>1.2682565116742353</v>
      </c>
      <c r="F724">
        <f t="shared" si="105"/>
        <v>0.1032071008155237</v>
      </c>
      <c r="G724">
        <f t="shared" si="106"/>
        <v>1.1261689534320485</v>
      </c>
    </row>
    <row r="725" spans="4:7" x14ac:dyDescent="0.25">
      <c r="D725" s="48">
        <f t="shared" si="107"/>
        <v>11.499999999999984</v>
      </c>
      <c r="E725" s="47">
        <f t="shared" si="104"/>
        <v>1.2398054433345849</v>
      </c>
      <c r="F725">
        <f t="shared" si="105"/>
        <v>9.3353538778729248E-2</v>
      </c>
      <c r="G725">
        <f t="shared" si="106"/>
        <v>1.1134655106174527</v>
      </c>
    </row>
    <row r="726" spans="4:7" x14ac:dyDescent="0.25">
      <c r="D726" s="48">
        <f t="shared" si="107"/>
        <v>11.599999999999984</v>
      </c>
      <c r="E726" s="47">
        <f t="shared" si="104"/>
        <v>1.1993153278293034</v>
      </c>
      <c r="F726">
        <f t="shared" si="105"/>
        <v>7.8933384209484161E-2</v>
      </c>
      <c r="G726">
        <f t="shared" si="106"/>
        <v>1.0951325617610423</v>
      </c>
    </row>
    <row r="727" spans="4:7" x14ac:dyDescent="0.25">
      <c r="D727" s="48">
        <f t="shared" si="107"/>
        <v>11.699999999999983</v>
      </c>
      <c r="E727" s="47">
        <f t="shared" si="104"/>
        <v>1.145861440406458</v>
      </c>
      <c r="F727">
        <f t="shared" si="105"/>
        <v>5.9132105148807915E-2</v>
      </c>
      <c r="G727">
        <f t="shared" si="106"/>
        <v>1.0704491769376339</v>
      </c>
    </row>
    <row r="728" spans="4:7" x14ac:dyDescent="0.25">
      <c r="D728" s="48">
        <f t="shared" si="107"/>
        <v>11.799999999999983</v>
      </c>
      <c r="E728" s="47">
        <f t="shared" si="104"/>
        <v>1.0792055170774881</v>
      </c>
      <c r="F728">
        <f t="shared" si="105"/>
        <v>3.310415685490125E-2</v>
      </c>
      <c r="G728">
        <f t="shared" si="106"/>
        <v>1.0388481684430542</v>
      </c>
    </row>
    <row r="729" spans="4:7" x14ac:dyDescent="0.25">
      <c r="D729" s="48">
        <f t="shared" si="107"/>
        <v>11.899999999999983</v>
      </c>
      <c r="E729" s="47">
        <f t="shared" si="104"/>
        <v>0.99982892673090751</v>
      </c>
      <c r="F729">
        <f t="shared" si="105"/>
        <v>-7.4302532537818376E-5</v>
      </c>
      <c r="G729">
        <f t="shared" si="106"/>
        <v>0.99991445970688286</v>
      </c>
    </row>
    <row r="730" spans="4:7" x14ac:dyDescent="0.25">
      <c r="D730" s="48">
        <f t="shared" si="107"/>
        <v>11.999999999999982</v>
      </c>
      <c r="E730" s="47">
        <f t="shared" si="104"/>
        <v>0.9089352222708369</v>
      </c>
      <c r="F730">
        <f t="shared" si="105"/>
        <v>-4.1467066847092247E-2</v>
      </c>
      <c r="G730">
        <f t="shared" si="106"/>
        <v>0.9533809428926282</v>
      </c>
    </row>
    <row r="731" spans="4:7" x14ac:dyDescent="0.25">
      <c r="D731" s="48">
        <f t="shared" si="107"/>
        <v>12.099999999999982</v>
      </c>
      <c r="E731" s="47">
        <f t="shared" si="104"/>
        <v>0.80842175183767351</v>
      </c>
      <c r="F731">
        <f t="shared" si="105"/>
        <v>-9.2362009634736286E-2</v>
      </c>
      <c r="G731">
        <f t="shared" si="106"/>
        <v>0.89912276794533097</v>
      </c>
    </row>
    <row r="732" spans="4:7" x14ac:dyDescent="0.25">
      <c r="D732" s="48">
        <f t="shared" si="107"/>
        <v>12.199999999999982</v>
      </c>
      <c r="E732" s="47">
        <f t="shared" si="104"/>
        <v>0.70082126611439455</v>
      </c>
      <c r="F732">
        <f t="shared" si="105"/>
        <v>-0.15439272816417066</v>
      </c>
      <c r="G732">
        <f t="shared" si="106"/>
        <v>0.83715068304003348</v>
      </c>
    </row>
    <row r="733" spans="4:7" x14ac:dyDescent="0.25">
      <c r="D733" s="48">
        <f t="shared" si="107"/>
        <v>12.299999999999981</v>
      </c>
      <c r="E733" s="47">
        <f t="shared" si="104"/>
        <v>0.58921567730872326</v>
      </c>
      <c r="F733">
        <f t="shared" si="105"/>
        <v>-0.22972570636760981</v>
      </c>
      <c r="G733">
        <f t="shared" si="106"/>
        <v>0.76760385441236767</v>
      </c>
    </row>
    <row r="734" spans="4:7" x14ac:dyDescent="0.25">
      <c r="D734" s="48">
        <f t="shared" si="107"/>
        <v>12.399999999999981</v>
      </c>
      <c r="E734" s="47">
        <f t="shared" si="104"/>
        <v>0.47712526077351913</v>
      </c>
      <c r="F734">
        <f t="shared" si="105"/>
        <v>-0.32136758967848655</v>
      </c>
      <c r="G734">
        <f t="shared" si="106"/>
        <v>0.69074254304590155</v>
      </c>
    </row>
    <row r="735" spans="4:7" x14ac:dyDescent="0.25">
      <c r="D735" s="48">
        <f t="shared" si="107"/>
        <v>12.49999999999998</v>
      </c>
      <c r="E735" s="47">
        <f t="shared" si="104"/>
        <v>0.36837759587032659</v>
      </c>
      <c r="F735">
        <f t="shared" si="105"/>
        <v>-0.4337067907601076</v>
      </c>
      <c r="G735">
        <f t="shared" si="106"/>
        <v>0.60694117990982177</v>
      </c>
    </row>
    <row r="736" spans="4:7" x14ac:dyDescent="0.25">
      <c r="D736" s="48">
        <f t="shared" si="107"/>
        <v>12.59999999999998</v>
      </c>
      <c r="E736" s="47">
        <f t="shared" si="104"/>
        <v>0.26696137823627675</v>
      </c>
      <c r="F736">
        <f t="shared" si="105"/>
        <v>-0.57355156422386355</v>
      </c>
      <c r="G736">
        <f t="shared" si="106"/>
        <v>0.51668305394726921</v>
      </c>
    </row>
    <row r="737" spans="2:7" x14ac:dyDescent="0.25">
      <c r="D737" s="48">
        <f t="shared" si="107"/>
        <v>12.69999999999998</v>
      </c>
      <c r="E737" s="47">
        <f t="shared" si="104"/>
        <v>0.17687086749352843</v>
      </c>
      <c r="F737">
        <f t="shared" si="105"/>
        <v>-0.75234369410392188</v>
      </c>
      <c r="G737">
        <f t="shared" si="106"/>
        <v>0.42056018296259151</v>
      </c>
    </row>
    <row r="738" spans="2:7" x14ac:dyDescent="0.25">
      <c r="D738" s="48">
        <f t="shared" si="107"/>
        <v>12.799999999999979</v>
      </c>
      <c r="E738" s="47">
        <f t="shared" si="104"/>
        <v>0.10194713716488413</v>
      </c>
      <c r="F738">
        <f t="shared" si="105"/>
        <v>-0.99162496538314726</v>
      </c>
      <c r="G738">
        <f t="shared" si="106"/>
        <v>0.3192916177491732</v>
      </c>
    </row>
    <row r="739" spans="2:7" x14ac:dyDescent="0.25">
      <c r="D739" s="48">
        <f t="shared" si="107"/>
        <v>12.899999999999979</v>
      </c>
      <c r="E739" s="47">
        <f t="shared" si="104"/>
        <v>4.5722450780129487E-2</v>
      </c>
      <c r="F739">
        <f t="shared" si="105"/>
        <v>-1.3398704989294119</v>
      </c>
      <c r="G739">
        <f t="shared" si="106"/>
        <v>0.21382808697673344</v>
      </c>
    </row>
    <row r="740" spans="2:7" x14ac:dyDescent="0.25">
      <c r="D740" s="48">
        <f t="shared" si="107"/>
        <v>12.999999999999979</v>
      </c>
      <c r="E740" s="47">
        <f t="shared" si="104"/>
        <v>1.1273993310007446E-2</v>
      </c>
      <c r="F740">
        <f t="shared" si="105"/>
        <v>-1.9479222272262895</v>
      </c>
      <c r="G740">
        <f t="shared" si="106"/>
        <v>0.1061790624841237</v>
      </c>
    </row>
    <row r="741" spans="2:7" x14ac:dyDescent="0.25">
      <c r="D741" s="48"/>
      <c r="E741" s="47"/>
    </row>
    <row r="742" spans="2:7" x14ac:dyDescent="0.25">
      <c r="D742" s="48"/>
      <c r="E742" s="47"/>
    </row>
    <row r="743" spans="2:7" x14ac:dyDescent="0.25">
      <c r="D743" s="48"/>
      <c r="E743" s="47"/>
    </row>
    <row r="744" spans="2:7" x14ac:dyDescent="0.25">
      <c r="D744" s="48"/>
      <c r="E744" s="47"/>
    </row>
    <row r="745" spans="2:7" x14ac:dyDescent="0.25">
      <c r="D745" s="48"/>
      <c r="E745" s="47"/>
    </row>
    <row r="746" spans="2:7" x14ac:dyDescent="0.25">
      <c r="B746" s="1">
        <v>1</v>
      </c>
      <c r="C746" s="48">
        <v>4</v>
      </c>
      <c r="D746" s="48"/>
      <c r="E746" s="47"/>
    </row>
    <row r="747" spans="2:7" x14ac:dyDescent="0.25">
      <c r="B747" s="1">
        <f>B746+2</f>
        <v>3</v>
      </c>
      <c r="C747" s="48">
        <v>4.7</v>
      </c>
      <c r="D747" s="48"/>
      <c r="E747" s="47"/>
    </row>
    <row r="748" spans="2:7" x14ac:dyDescent="0.25">
      <c r="B748" s="1">
        <f t="shared" ref="B748:B765" si="108">B747+2</f>
        <v>5</v>
      </c>
      <c r="C748" s="48">
        <v>4.9000000000000004</v>
      </c>
      <c r="D748" s="48"/>
      <c r="E748" s="47"/>
    </row>
    <row r="749" spans="2:7" x14ac:dyDescent="0.25">
      <c r="B749" s="1">
        <f t="shared" si="108"/>
        <v>7</v>
      </c>
      <c r="C749" s="48">
        <v>5</v>
      </c>
      <c r="D749" s="48"/>
      <c r="E749" s="47"/>
    </row>
    <row r="750" spans="2:7" x14ac:dyDescent="0.25">
      <c r="B750" s="1">
        <f t="shared" si="108"/>
        <v>9</v>
      </c>
      <c r="C750" s="48">
        <v>5</v>
      </c>
      <c r="D750" s="48"/>
      <c r="E750" s="47"/>
    </row>
    <row r="751" spans="2:7" x14ac:dyDescent="0.25">
      <c r="B751" s="1">
        <f t="shared" si="108"/>
        <v>11</v>
      </c>
      <c r="C751" s="48">
        <v>5.4</v>
      </c>
      <c r="D751" s="48"/>
      <c r="E751" s="47"/>
    </row>
    <row r="752" spans="2:7" x14ac:dyDescent="0.25">
      <c r="B752" s="1">
        <f t="shared" si="108"/>
        <v>13</v>
      </c>
      <c r="C752" s="48">
        <v>5.5</v>
      </c>
      <c r="D752" s="48"/>
      <c r="E752" s="47"/>
    </row>
    <row r="753" spans="1:9" x14ac:dyDescent="0.25">
      <c r="B753" s="1">
        <f t="shared" si="108"/>
        <v>15</v>
      </c>
      <c r="C753" s="48">
        <v>6.1</v>
      </c>
      <c r="D753" s="48"/>
      <c r="E753" s="47"/>
    </row>
    <row r="754" spans="1:9" x14ac:dyDescent="0.25">
      <c r="B754" s="1">
        <f t="shared" si="108"/>
        <v>17</v>
      </c>
      <c r="C754" s="48">
        <v>6.3</v>
      </c>
      <c r="D754" s="48"/>
      <c r="E754" s="47"/>
    </row>
    <row r="755" spans="1:9" x14ac:dyDescent="0.25">
      <c r="B755" s="1">
        <f t="shared" si="108"/>
        <v>19</v>
      </c>
      <c r="C755" s="48">
        <v>6.8</v>
      </c>
      <c r="D755" s="48"/>
      <c r="E755" s="47"/>
    </row>
    <row r="756" spans="1:9" x14ac:dyDescent="0.25">
      <c r="B756" s="1">
        <f t="shared" si="108"/>
        <v>21</v>
      </c>
      <c r="C756" s="48">
        <v>7.1</v>
      </c>
      <c r="D756" s="48"/>
      <c r="E756" s="47"/>
    </row>
    <row r="757" spans="1:9" x14ac:dyDescent="0.25">
      <c r="B757" s="1">
        <f t="shared" si="108"/>
        <v>23</v>
      </c>
      <c r="C757" s="48">
        <v>8</v>
      </c>
      <c r="D757" s="48"/>
      <c r="E757" s="47"/>
    </row>
    <row r="758" spans="1:9" x14ac:dyDescent="0.25">
      <c r="B758" s="1">
        <f t="shared" si="108"/>
        <v>25</v>
      </c>
      <c r="C758" s="48">
        <v>8.8000000000000007</v>
      </c>
      <c r="D758" s="48"/>
      <c r="E758" s="47"/>
    </row>
    <row r="759" spans="1:9" x14ac:dyDescent="0.25">
      <c r="B759" s="1">
        <f t="shared" si="108"/>
        <v>27</v>
      </c>
      <c r="C759" s="48">
        <v>9.6999999999999993</v>
      </c>
      <c r="D759" s="48"/>
      <c r="E759" s="47"/>
    </row>
    <row r="760" spans="1:9" x14ac:dyDescent="0.25">
      <c r="B760" s="1">
        <f t="shared" si="108"/>
        <v>29</v>
      </c>
      <c r="C760" s="48">
        <v>9.8000000000000007</v>
      </c>
      <c r="D760" s="48"/>
      <c r="E760" s="47"/>
    </row>
    <row r="761" spans="1:9" x14ac:dyDescent="0.25">
      <c r="B761" s="1">
        <f t="shared" si="108"/>
        <v>31</v>
      </c>
      <c r="C761" s="48">
        <v>10.1</v>
      </c>
      <c r="D761" s="48"/>
      <c r="E761" s="47"/>
    </row>
    <row r="762" spans="1:9" x14ac:dyDescent="0.25">
      <c r="B762" s="1">
        <f t="shared" si="108"/>
        <v>33</v>
      </c>
      <c r="C762" s="48">
        <v>10.6</v>
      </c>
      <c r="D762" s="48"/>
      <c r="E762" s="47"/>
    </row>
    <row r="763" spans="1:9" x14ac:dyDescent="0.25">
      <c r="B763" s="1">
        <f t="shared" si="108"/>
        <v>35</v>
      </c>
      <c r="C763" s="48">
        <v>10.7</v>
      </c>
      <c r="D763" s="48"/>
      <c r="E763" s="47"/>
    </row>
    <row r="764" spans="1:9" x14ac:dyDescent="0.25">
      <c r="B764" s="1">
        <f t="shared" si="108"/>
        <v>37</v>
      </c>
      <c r="C764" s="48">
        <v>10.8</v>
      </c>
      <c r="D764" s="48"/>
      <c r="E764" s="47"/>
    </row>
    <row r="765" spans="1:9" x14ac:dyDescent="0.25">
      <c r="B765" s="1">
        <f t="shared" si="108"/>
        <v>39</v>
      </c>
      <c r="C765" s="48">
        <v>10.7</v>
      </c>
      <c r="D765" s="48"/>
      <c r="E765" s="47"/>
    </row>
    <row r="766" spans="1:9" x14ac:dyDescent="0.25">
      <c r="D766" s="48"/>
      <c r="E766" s="47"/>
    </row>
    <row r="767" spans="1:9" x14ac:dyDescent="0.25">
      <c r="D767" s="48"/>
      <c r="E767" s="47"/>
    </row>
    <row r="768" spans="1:9" x14ac:dyDescent="0.25">
      <c r="A768">
        <v>0.05</v>
      </c>
      <c r="B768" s="2">
        <v>-3</v>
      </c>
      <c r="C768" s="2">
        <f>_xlfn.NORM.DIST(B768,0,1,FALSE)</f>
        <v>4.4318484119380075E-3</v>
      </c>
      <c r="D768" s="2">
        <f>_xlfn.NORM.DIST(B768,0,1,TRUE)</f>
        <v>1.3498980316300933E-3</v>
      </c>
      <c r="E768" s="47"/>
      <c r="F768">
        <f>B768</f>
        <v>-3</v>
      </c>
      <c r="G768">
        <v>-2.996556756719051</v>
      </c>
      <c r="H768">
        <v>3.6678880124196545E-3</v>
      </c>
      <c r="I768">
        <v>4.4318484119380075E-3</v>
      </c>
    </row>
    <row r="769" spans="2:9" x14ac:dyDescent="0.25">
      <c r="B769" s="2">
        <f t="shared" ref="B769:B831" si="109">B768+$A$768</f>
        <v>-2.95</v>
      </c>
      <c r="C769" s="2">
        <f t="shared" ref="C769:C828" si="110">_xlfn.NORM.DIST(B769,0,1,FALSE)</f>
        <v>5.1426409230539392E-3</v>
      </c>
      <c r="D769" s="2">
        <f t="shared" ref="D769:D828" si="111">_xlfn.NORM.DIST(B769,0,1,TRUE)</f>
        <v>1.5888696473648663E-3</v>
      </c>
      <c r="E769" s="47"/>
      <c r="F769">
        <f t="shared" ref="F769:F832" si="112">B769</f>
        <v>-2.95</v>
      </c>
      <c r="G769">
        <v>-2.9474328754613612</v>
      </c>
      <c r="H769">
        <v>3.9298476800607354E-3</v>
      </c>
      <c r="I769">
        <v>5.1426409230539392E-3</v>
      </c>
    </row>
    <row r="770" spans="2:9" x14ac:dyDescent="0.25">
      <c r="B770" s="2">
        <f t="shared" si="109"/>
        <v>-2.9000000000000004</v>
      </c>
      <c r="C770" s="2">
        <f t="shared" si="110"/>
        <v>5.9525324197758486E-3</v>
      </c>
      <c r="D770" s="2">
        <f t="shared" si="111"/>
        <v>1.8658133003840341E-3</v>
      </c>
      <c r="E770" s="47"/>
      <c r="F770">
        <f t="shared" si="112"/>
        <v>-2.9000000000000004</v>
      </c>
      <c r="G770">
        <v>-2.8983089942036719</v>
      </c>
      <c r="H770">
        <v>4.2599364522851258E-3</v>
      </c>
      <c r="I770">
        <v>5.9525324197758486E-3</v>
      </c>
    </row>
    <row r="771" spans="2:9" x14ac:dyDescent="0.25">
      <c r="B771" s="2">
        <f t="shared" si="109"/>
        <v>-2.8500000000000005</v>
      </c>
      <c r="C771" s="2">
        <f t="shared" si="110"/>
        <v>6.8727666906139651E-3</v>
      </c>
      <c r="D771" s="2">
        <f t="shared" si="111"/>
        <v>2.1859614549132357E-3</v>
      </c>
      <c r="E771" s="47"/>
      <c r="F771">
        <f t="shared" si="112"/>
        <v>-2.8500000000000005</v>
      </c>
      <c r="G771">
        <v>-2.8491851129459826</v>
      </c>
      <c r="H771">
        <v>4.6527186841252071E-3</v>
      </c>
      <c r="I771">
        <v>6.8727666906139651E-3</v>
      </c>
    </row>
    <row r="772" spans="2:9" x14ac:dyDescent="0.25">
      <c r="B772" s="2">
        <f t="shared" si="109"/>
        <v>-2.8000000000000007</v>
      </c>
      <c r="C772" s="2">
        <f t="shared" si="110"/>
        <v>7.915451582979946E-3</v>
      </c>
      <c r="D772" s="2">
        <f t="shared" si="111"/>
        <v>2.555130330427926E-3</v>
      </c>
      <c r="E772" s="47"/>
      <c r="F772">
        <f t="shared" si="112"/>
        <v>-2.8000000000000007</v>
      </c>
      <c r="G772">
        <v>-2.8000612316882934</v>
      </c>
      <c r="H772">
        <v>5.1022478238290248E-3</v>
      </c>
      <c r="I772">
        <v>7.915451582979946E-3</v>
      </c>
    </row>
    <row r="773" spans="2:9" x14ac:dyDescent="0.25">
      <c r="B773" s="2">
        <f t="shared" si="109"/>
        <v>-2.7500000000000009</v>
      </c>
      <c r="C773" s="2">
        <f t="shared" si="110"/>
        <v>9.0935625015910286E-3</v>
      </c>
      <c r="D773" s="2">
        <f t="shared" si="111"/>
        <v>2.9797632350545469E-3</v>
      </c>
      <c r="E773" s="47"/>
      <c r="F773">
        <f t="shared" si="112"/>
        <v>-2.7500000000000009</v>
      </c>
      <c r="G773">
        <v>-2.7509373504306041</v>
      </c>
      <c r="H773">
        <v>5.6021358649405032E-3</v>
      </c>
      <c r="I773">
        <v>9.0935625015910286E-3</v>
      </c>
    </row>
    <row r="774" spans="2:9" x14ac:dyDescent="0.25">
      <c r="B774" s="2">
        <f t="shared" si="109"/>
        <v>-2.7000000000000011</v>
      </c>
      <c r="C774" s="2">
        <f t="shared" si="110"/>
        <v>1.0420934814422567E-2</v>
      </c>
      <c r="D774" s="2">
        <f t="shared" si="111"/>
        <v>3.4669738030406539E-3</v>
      </c>
      <c r="E774" s="47"/>
      <c r="F774">
        <f t="shared" si="112"/>
        <v>-2.7000000000000011</v>
      </c>
      <c r="G774">
        <v>-2.7018134691729148</v>
      </c>
      <c r="H774">
        <v>6.145625834600375E-3</v>
      </c>
      <c r="I774">
        <v>1.0420934814422567E-2</v>
      </c>
    </row>
    <row r="775" spans="2:9" x14ac:dyDescent="0.25">
      <c r="B775" s="2">
        <f t="shared" si="109"/>
        <v>-2.6500000000000012</v>
      </c>
      <c r="C775" s="2">
        <f t="shared" si="110"/>
        <v>1.1912243607605141E-2</v>
      </c>
      <c r="D775" s="2">
        <f t="shared" si="111"/>
        <v>4.0245885427582923E-3</v>
      </c>
      <c r="E775" s="47"/>
      <c r="F775">
        <f t="shared" si="112"/>
        <v>-2.6500000000000012</v>
      </c>
      <c r="G775">
        <v>-2.6526895879152255</v>
      </c>
      <c r="H775">
        <v>6.7256665336896827E-3</v>
      </c>
      <c r="I775">
        <v>1.1912243607605141E-2</v>
      </c>
    </row>
    <row r="776" spans="2:9" x14ac:dyDescent="0.25">
      <c r="B776" s="2">
        <f t="shared" si="109"/>
        <v>-2.6000000000000014</v>
      </c>
      <c r="C776" s="2">
        <f t="shared" si="110"/>
        <v>1.3582969233685566E-2</v>
      </c>
      <c r="D776" s="2">
        <f t="shared" si="111"/>
        <v>4.6611880237187302E-3</v>
      </c>
      <c r="E776" s="47"/>
      <c r="F776">
        <f t="shared" si="112"/>
        <v>-2.6000000000000014</v>
      </c>
      <c r="G776">
        <v>-2.6035657066575357</v>
      </c>
      <c r="H776">
        <v>7.3349887374707821E-3</v>
      </c>
      <c r="I776">
        <v>1.3582969233685566E-2</v>
      </c>
    </row>
    <row r="777" spans="2:9" x14ac:dyDescent="0.25">
      <c r="B777" s="2">
        <f t="shared" si="109"/>
        <v>-2.5500000000000016</v>
      </c>
      <c r="C777" s="2">
        <f t="shared" si="110"/>
        <v>1.5449347134395107E-2</v>
      </c>
      <c r="D777" s="2">
        <f t="shared" si="111"/>
        <v>5.3861459540666609E-3</v>
      </c>
      <c r="E777" s="47"/>
      <c r="F777">
        <f t="shared" si="112"/>
        <v>-2.5500000000000016</v>
      </c>
      <c r="G777">
        <v>-2.5544418253998469</v>
      </c>
      <c r="H777">
        <v>7.9661820664583497E-3</v>
      </c>
      <c r="I777">
        <v>1.5449347134395107E-2</v>
      </c>
    </row>
    <row r="778" spans="2:9" x14ac:dyDescent="0.25">
      <c r="B778" s="2">
        <f t="shared" si="109"/>
        <v>-2.5000000000000018</v>
      </c>
      <c r="C778" s="2">
        <f t="shared" si="110"/>
        <v>1.7528300493568461E-2</v>
      </c>
      <c r="D778" s="2">
        <f t="shared" si="111"/>
        <v>6.209665325776101E-3</v>
      </c>
      <c r="E778" s="47"/>
      <c r="F778">
        <f t="shared" si="112"/>
        <v>-2.5000000000000018</v>
      </c>
      <c r="G778">
        <v>-2.5053179441421576</v>
      </c>
      <c r="H778">
        <v>8.6117717462048504E-3</v>
      </c>
      <c r="I778">
        <v>1.7528300493568461E-2</v>
      </c>
    </row>
    <row r="779" spans="2:9" x14ac:dyDescent="0.25">
      <c r="B779" s="2">
        <f t="shared" si="109"/>
        <v>-2.450000000000002</v>
      </c>
      <c r="C779" s="2">
        <f t="shared" si="110"/>
        <v>1.9837354391795233E-2</v>
      </c>
      <c r="D779" s="2">
        <f t="shared" si="111"/>
        <v>7.1428107352713771E-3</v>
      </c>
      <c r="E779" s="47"/>
      <c r="F779">
        <f t="shared" si="112"/>
        <v>-2.450000000000002</v>
      </c>
      <c r="G779">
        <v>-2.4561940628844678</v>
      </c>
      <c r="H779">
        <v>9.2642944912659699E-3</v>
      </c>
      <c r="I779">
        <v>1.9837354391795233E-2</v>
      </c>
    </row>
    <row r="780" spans="2:9" x14ac:dyDescent="0.25">
      <c r="B780" s="2">
        <f t="shared" si="109"/>
        <v>-2.4000000000000021</v>
      </c>
      <c r="C780" s="2">
        <f t="shared" si="110"/>
        <v>2.2394530294842781E-2</v>
      </c>
      <c r="D780" s="2">
        <f t="shared" si="111"/>
        <v>8.1975359245960791E-3</v>
      </c>
      <c r="E780" s="47"/>
      <c r="F780">
        <f t="shared" si="112"/>
        <v>-2.4000000000000021</v>
      </c>
      <c r="G780">
        <v>-2.4070701816267785</v>
      </c>
      <c r="H780">
        <v>9.9163727725049122E-3</v>
      </c>
      <c r="I780">
        <v>2.2394530294842781E-2</v>
      </c>
    </row>
    <row r="781" spans="2:9" x14ac:dyDescent="0.25">
      <c r="B781" s="2">
        <f t="shared" si="109"/>
        <v>-2.3500000000000023</v>
      </c>
      <c r="C781" s="2">
        <f t="shared" si="110"/>
        <v>2.5218219915194261E-2</v>
      </c>
      <c r="D781" s="2">
        <f t="shared" si="111"/>
        <v>9.3867055348385107E-3</v>
      </c>
      <c r="E781" s="47"/>
      <c r="F781">
        <f t="shared" si="112"/>
        <v>-2.3500000000000023</v>
      </c>
      <c r="G781">
        <v>-2.3579463003690893</v>
      </c>
      <c r="H781">
        <v>1.0560786757716619E-2</v>
      </c>
      <c r="I781">
        <v>2.5218219915194261E-2</v>
      </c>
    </row>
    <row r="782" spans="2:9" x14ac:dyDescent="0.25">
      <c r="B782" s="2">
        <f t="shared" si="109"/>
        <v>-2.3000000000000025</v>
      </c>
      <c r="C782" s="2">
        <f t="shared" si="110"/>
        <v>2.8327037741601009E-2</v>
      </c>
      <c r="D782" s="2">
        <f t="shared" si="111"/>
        <v>1.0724110021675727E-2</v>
      </c>
      <c r="E782" s="47"/>
      <c r="F782">
        <f t="shared" si="112"/>
        <v>-2.3000000000000025</v>
      </c>
      <c r="G782">
        <v>-2.3088224191114</v>
      </c>
      <c r="H782">
        <v>1.1190543252858835E-2</v>
      </c>
      <c r="I782">
        <v>2.8327037741601009E-2</v>
      </c>
    </row>
    <row r="783" spans="2:9" x14ac:dyDescent="0.25">
      <c r="B783" s="2">
        <f t="shared" si="109"/>
        <v>-2.2500000000000027</v>
      </c>
      <c r="C783" s="2">
        <f t="shared" si="110"/>
        <v>3.1739651835667224E-2</v>
      </c>
      <c r="D783" s="2">
        <f t="shared" si="111"/>
        <v>1.2224472655044614E-2</v>
      </c>
      <c r="E783" s="47"/>
      <c r="F783">
        <f t="shared" si="112"/>
        <v>-2.2500000000000027</v>
      </c>
      <c r="G783">
        <v>-2.2596985378537107</v>
      </c>
      <c r="H783">
        <v>1.1798941014465318E-2</v>
      </c>
      <c r="I783">
        <v>3.1739651835667224E-2</v>
      </c>
    </row>
    <row r="784" spans="2:9" x14ac:dyDescent="0.25">
      <c r="B784" s="2">
        <f t="shared" si="109"/>
        <v>-2.2000000000000028</v>
      </c>
      <c r="C784" s="2">
        <f t="shared" si="110"/>
        <v>3.5474592846231216E-2</v>
      </c>
      <c r="D784" s="2">
        <f t="shared" si="111"/>
        <v>1.390344751349851E-2</v>
      </c>
      <c r="E784" s="47"/>
      <c r="F784">
        <f t="shared" si="112"/>
        <v>-2.2000000000000028</v>
      </c>
      <c r="G784">
        <v>-2.2105746565960214</v>
      </c>
      <c r="H784">
        <v>1.2379631852536481E-2</v>
      </c>
      <c r="I784">
        <v>3.5474592846231216E-2</v>
      </c>
    </row>
    <row r="785" spans="2:9" x14ac:dyDescent="0.25">
      <c r="B785" s="2">
        <f t="shared" si="109"/>
        <v>-2.150000000000003</v>
      </c>
      <c r="C785" s="2">
        <f t="shared" si="110"/>
        <v>3.9550041589369964E-2</v>
      </c>
      <c r="D785" s="2">
        <f t="shared" si="111"/>
        <v>1.5777607391090381E-2</v>
      </c>
      <c r="E785" s="47"/>
      <c r="F785">
        <f t="shared" si="112"/>
        <v>-2.150000000000003</v>
      </c>
      <c r="G785">
        <v>-2.1614507753383321</v>
      </c>
      <c r="H785">
        <v>1.2926676996759938E-2</v>
      </c>
      <c r="I785">
        <v>3.9550041589369964E-2</v>
      </c>
    </row>
    <row r="786" spans="2:9" x14ac:dyDescent="0.25">
      <c r="B786" s="2">
        <f t="shared" si="109"/>
        <v>-2.1000000000000032</v>
      </c>
      <c r="C786" s="2">
        <f t="shared" si="110"/>
        <v>4.39835959804269E-2</v>
      </c>
      <c r="D786" s="2">
        <f t="shared" si="111"/>
        <v>1.7864420562816407E-2</v>
      </c>
      <c r="E786" s="47"/>
      <c r="F786">
        <f t="shared" si="112"/>
        <v>-2.1000000000000032</v>
      </c>
      <c r="G786">
        <v>-2.1123268940806423</v>
      </c>
      <c r="H786">
        <v>1.3434598256676995E-2</v>
      </c>
      <c r="I786">
        <v>4.39835959804269E-2</v>
      </c>
    </row>
    <row r="787" spans="2:9" x14ac:dyDescent="0.25">
      <c r="B787" s="2">
        <f t="shared" si="109"/>
        <v>-2.0500000000000034</v>
      </c>
      <c r="C787" s="2">
        <f t="shared" si="110"/>
        <v>4.8792018579182417E-2</v>
      </c>
      <c r="D787" s="2">
        <f t="shared" si="111"/>
        <v>2.0182215405704231E-2</v>
      </c>
      <c r="E787" s="47"/>
      <c r="F787">
        <f t="shared" si="112"/>
        <v>-2.0500000000000034</v>
      </c>
      <c r="G787">
        <v>-2.063203012822953</v>
      </c>
      <c r="H787">
        <v>1.3898423567720737E-2</v>
      </c>
      <c r="I787">
        <v>4.8792018579182417E-2</v>
      </c>
    </row>
    <row r="788" spans="2:9" x14ac:dyDescent="0.25">
      <c r="B788" s="2">
        <f t="shared" si="109"/>
        <v>-2.0000000000000036</v>
      </c>
      <c r="C788" s="2">
        <f t="shared" si="110"/>
        <v>5.3990966513187674E-2</v>
      </c>
      <c r="D788" s="2">
        <f t="shared" si="111"/>
        <v>2.2750131948179021E-2</v>
      </c>
      <c r="E788" s="47"/>
      <c r="F788">
        <f t="shared" si="112"/>
        <v>-2.0000000000000036</v>
      </c>
      <c r="G788">
        <v>-2.0140791315652642</v>
      </c>
      <c r="H788">
        <v>1.4313726579223845E-2</v>
      </c>
      <c r="I788">
        <v>5.3990966513187674E-2</v>
      </c>
    </row>
    <row r="789" spans="2:9" x14ac:dyDescent="0.25">
      <c r="B789" s="2">
        <f t="shared" si="109"/>
        <v>-1.9500000000000035</v>
      </c>
      <c r="C789" s="2">
        <f t="shared" si="110"/>
        <v>5.9594706068815666E-2</v>
      </c>
      <c r="D789" s="2">
        <f t="shared" si="111"/>
        <v>2.5588059521638406E-2</v>
      </c>
      <c r="E789" s="47"/>
      <c r="F789">
        <f t="shared" si="112"/>
        <v>-1.9500000000000035</v>
      </c>
      <c r="G789">
        <v>-1.9649552503075745</v>
      </c>
      <c r="H789">
        <v>1.4676660006832517E-2</v>
      </c>
      <c r="I789">
        <v>5.9594706068815666E-2</v>
      </c>
    </row>
    <row r="790" spans="2:9" x14ac:dyDescent="0.25">
      <c r="B790" s="2">
        <f t="shared" si="109"/>
        <v>-1.9000000000000035</v>
      </c>
      <c r="C790" s="2">
        <f t="shared" si="110"/>
        <v>6.5615814774676165E-2</v>
      </c>
      <c r="D790" s="2">
        <f t="shared" si="111"/>
        <v>2.8716559816001564E-2</v>
      </c>
      <c r="E790" s="47"/>
      <c r="F790">
        <f t="shared" si="112"/>
        <v>-1.9000000000000035</v>
      </c>
      <c r="G790">
        <v>-1.9158313690498852</v>
      </c>
      <c r="H790">
        <v>1.4983982539560263E-2</v>
      </c>
      <c r="I790">
        <v>6.5615814774676165E-2</v>
      </c>
    </row>
    <row r="791" spans="2:9" x14ac:dyDescent="0.25">
      <c r="B791" s="2">
        <f t="shared" si="109"/>
        <v>-1.8500000000000034</v>
      </c>
      <c r="C791" s="2">
        <f t="shared" si="110"/>
        <v>7.2064874336217541E-2</v>
      </c>
      <c r="D791" s="2">
        <f t="shared" si="111"/>
        <v>3.2156774795613463E-2</v>
      </c>
      <c r="E791" s="47"/>
      <c r="F791">
        <f t="shared" si="112"/>
        <v>-1.8500000000000034</v>
      </c>
      <c r="G791">
        <v>-1.8667074877921956</v>
      </c>
      <c r="H791">
        <v>1.5233079160266401E-2</v>
      </c>
      <c r="I791">
        <v>7.2064874336217541E-2</v>
      </c>
    </row>
    <row r="792" spans="2:9" x14ac:dyDescent="0.25">
      <c r="B792" s="2">
        <f t="shared" si="109"/>
        <v>-1.8000000000000034</v>
      </c>
      <c r="C792" s="2">
        <f t="shared" si="110"/>
        <v>7.8950158300893677E-2</v>
      </c>
      <c r="D792" s="2">
        <f t="shared" si="111"/>
        <v>3.5930319112925532E-2</v>
      </c>
      <c r="E792" s="47"/>
      <c r="F792">
        <f t="shared" si="112"/>
        <v>-1.8000000000000034</v>
      </c>
      <c r="G792">
        <v>-1.8175836065345063</v>
      </c>
      <c r="H792">
        <v>1.542197480694861E-2</v>
      </c>
      <c r="I792">
        <v>7.8950158300893677E-2</v>
      </c>
    </row>
    <row r="793" spans="2:9" x14ac:dyDescent="0.25">
      <c r="B793" s="2">
        <f t="shared" si="109"/>
        <v>-1.7500000000000033</v>
      </c>
      <c r="C793" s="2">
        <f t="shared" si="110"/>
        <v>8.6277318826511032E-2</v>
      </c>
      <c r="D793" s="2">
        <f t="shared" si="111"/>
        <v>4.0059156863816794E-2</v>
      </c>
      <c r="E793" s="47"/>
      <c r="F793">
        <f t="shared" si="112"/>
        <v>-1.7500000000000033</v>
      </c>
      <c r="G793">
        <v>-1.7684597252768173</v>
      </c>
      <c r="H793">
        <v>1.5549341370210237E-2</v>
      </c>
      <c r="I793">
        <v>8.6277318826511032E-2</v>
      </c>
    </row>
    <row r="794" spans="2:9" x14ac:dyDescent="0.25">
      <c r="B794" s="2">
        <f t="shared" si="109"/>
        <v>-1.7000000000000033</v>
      </c>
      <c r="C794" s="2">
        <f t="shared" si="110"/>
        <v>9.4049077376886406E-2</v>
      </c>
      <c r="D794" s="2">
        <f t="shared" si="111"/>
        <v>4.4565462758542722E-2</v>
      </c>
      <c r="E794" s="47"/>
      <c r="F794">
        <f t="shared" si="112"/>
        <v>-1.7000000000000033</v>
      </c>
      <c r="G794">
        <v>-1.719335844019128</v>
      </c>
      <c r="H794">
        <v>1.5614498088935126E-2</v>
      </c>
      <c r="I794">
        <v>9.4049077376886406E-2</v>
      </c>
    </row>
    <row r="795" spans="2:9" x14ac:dyDescent="0.25">
      <c r="B795" s="2">
        <f t="shared" si="109"/>
        <v>-1.6500000000000032</v>
      </c>
      <c r="C795" s="2">
        <f t="shared" si="110"/>
        <v>0.10226492456397746</v>
      </c>
      <c r="D795" s="2">
        <f t="shared" si="111"/>
        <v>4.9471468033647763E-2</v>
      </c>
      <c r="E795" s="47"/>
      <c r="F795">
        <f t="shared" si="112"/>
        <v>-1.6500000000000032</v>
      </c>
      <c r="G795">
        <v>-1.6702119627614387</v>
      </c>
      <c r="H795">
        <v>1.5617405470934563E-2</v>
      </c>
      <c r="I795">
        <v>0.10226492456397746</v>
      </c>
    </row>
    <row r="796" spans="2:9" x14ac:dyDescent="0.25">
      <c r="B796" s="2">
        <f t="shared" si="109"/>
        <v>-1.6000000000000032</v>
      </c>
      <c r="C796" s="2">
        <f t="shared" si="110"/>
        <v>0.11092083467945499</v>
      </c>
      <c r="D796" s="2">
        <f t="shared" si="111"/>
        <v>5.4799291699557606E-2</v>
      </c>
      <c r="E796" s="47"/>
      <c r="F796">
        <f t="shared" si="112"/>
        <v>-1.6000000000000032</v>
      </c>
      <c r="G796">
        <v>-1.6210880815037492</v>
      </c>
      <c r="H796">
        <v>1.5558652927514582E-2</v>
      </c>
      <c r="I796">
        <v>0.11092083467945499</v>
      </c>
    </row>
    <row r="797" spans="2:9" x14ac:dyDescent="0.25">
      <c r="B797" s="2">
        <f t="shared" si="109"/>
        <v>-1.5500000000000032</v>
      </c>
      <c r="C797" s="2">
        <f t="shared" si="110"/>
        <v>0.12000900069698503</v>
      </c>
      <c r="D797" s="2">
        <f t="shared" si="111"/>
        <v>6.0570758002058633E-2</v>
      </c>
      <c r="E797" s="47"/>
      <c r="F797">
        <f t="shared" si="112"/>
        <v>-1.5500000000000032</v>
      </c>
      <c r="G797">
        <v>-1.5719642002460599</v>
      </c>
      <c r="H797">
        <v>1.543944036997642E-2</v>
      </c>
      <c r="I797">
        <v>0.12000900069698503</v>
      </c>
    </row>
    <row r="798" spans="2:9" x14ac:dyDescent="0.25">
      <c r="B798" s="2">
        <f t="shared" si="109"/>
        <v>-1.5000000000000031</v>
      </c>
      <c r="C798" s="2">
        <f t="shared" si="110"/>
        <v>0.12951759566589113</v>
      </c>
      <c r="D798" s="2">
        <f t="shared" si="111"/>
        <v>6.6807201268857641E-2</v>
      </c>
      <c r="E798" s="47"/>
      <c r="F798">
        <f t="shared" si="112"/>
        <v>-1.5000000000000031</v>
      </c>
      <c r="G798">
        <v>-1.5228403189883706</v>
      </c>
      <c r="H798">
        <v>1.5261554071479689E-2</v>
      </c>
      <c r="I798">
        <v>0.12951759566589113</v>
      </c>
    </row>
    <row r="799" spans="2:9" x14ac:dyDescent="0.25">
      <c r="B799" s="2">
        <f t="shared" si="109"/>
        <v>-1.4500000000000031</v>
      </c>
      <c r="C799" s="2">
        <f t="shared" si="110"/>
        <v>0.13943056644535964</v>
      </c>
      <c r="D799" s="2">
        <f t="shared" si="111"/>
        <v>7.3529259609647929E-2</v>
      </c>
      <c r="E799" s="47"/>
      <c r="F799">
        <f t="shared" si="112"/>
        <v>-1.4500000000000031</v>
      </c>
      <c r="G799">
        <v>-1.4737164377306811</v>
      </c>
      <c r="H799">
        <v>1.5027337148986046E-2</v>
      </c>
      <c r="I799">
        <v>0.13943056644535964</v>
      </c>
    </row>
    <row r="800" spans="2:9" x14ac:dyDescent="0.25">
      <c r="B800" s="2">
        <f t="shared" si="109"/>
        <v>-1.400000000000003</v>
      </c>
      <c r="C800" s="2">
        <f t="shared" si="110"/>
        <v>0.14972746563574424</v>
      </c>
      <c r="D800" s="2">
        <f t="shared" si="111"/>
        <v>8.0756659233770595E-2</v>
      </c>
      <c r="E800" s="47"/>
      <c r="F800">
        <f t="shared" si="112"/>
        <v>-1.400000000000003</v>
      </c>
      <c r="G800">
        <v>-1.4245925564729918</v>
      </c>
      <c r="H800">
        <v>1.4739655066729239E-2</v>
      </c>
      <c r="I800">
        <v>0.14972746563574424</v>
      </c>
    </row>
    <row r="801" spans="2:9" x14ac:dyDescent="0.25">
      <c r="B801" s="2">
        <f t="shared" si="109"/>
        <v>-1.350000000000003</v>
      </c>
      <c r="C801" s="2">
        <f t="shared" si="110"/>
        <v>0.16038332734191896</v>
      </c>
      <c r="D801" s="2">
        <f t="shared" si="111"/>
        <v>8.8507991437401512E-2</v>
      </c>
      <c r="E801" s="47"/>
      <c r="F801">
        <f t="shared" si="112"/>
        <v>-1.350000000000003</v>
      </c>
      <c r="G801">
        <v>-1.3754686752153025</v>
      </c>
      <c r="H801">
        <v>1.4401856604449745E-2</v>
      </c>
      <c r="I801">
        <v>0.16038332734191896</v>
      </c>
    </row>
    <row r="802" spans="2:9" x14ac:dyDescent="0.25">
      <c r="B802" s="2">
        <f t="shared" si="109"/>
        <v>-1.3000000000000029</v>
      </c>
      <c r="C802" s="2">
        <f t="shared" si="110"/>
        <v>0.17136859204780672</v>
      </c>
      <c r="D802" s="2">
        <f t="shared" si="111"/>
        <v>9.6800484585609789E-2</v>
      </c>
      <c r="E802" s="47"/>
      <c r="F802">
        <f t="shared" si="112"/>
        <v>-1.3000000000000029</v>
      </c>
      <c r="G802">
        <v>-1.3263447939576132</v>
      </c>
      <c r="H802">
        <v>1.4017730770168059E-2</v>
      </c>
      <c r="I802">
        <v>0.17136859204780672</v>
      </c>
    </row>
    <row r="803" spans="2:9" x14ac:dyDescent="0.25">
      <c r="B803" s="2">
        <f t="shared" si="109"/>
        <v>-1.2500000000000029</v>
      </c>
      <c r="C803" s="2">
        <f t="shared" si="110"/>
        <v>0.18264908538902128</v>
      </c>
      <c r="D803" s="2">
        <f t="shared" si="111"/>
        <v>0.10564977366685471</v>
      </c>
      <c r="F803">
        <f t="shared" si="112"/>
        <v>-1.2500000000000029</v>
      </c>
      <c r="G803">
        <v>-1.2772209126999237</v>
      </c>
      <c r="H803">
        <v>1.3591460168289899E-2</v>
      </c>
      <c r="I803">
        <v>0.18264908538902128</v>
      </c>
    </row>
    <row r="804" spans="2:9" x14ac:dyDescent="0.25">
      <c r="B804" s="2">
        <f t="shared" si="109"/>
        <v>-1.2000000000000028</v>
      </c>
      <c r="C804" s="2">
        <f t="shared" si="110"/>
        <v>0.19418605498321231</v>
      </c>
      <c r="D804" s="2">
        <f t="shared" si="111"/>
        <v>0.11506967022170771</v>
      </c>
      <c r="F804">
        <f t="shared" si="112"/>
        <v>-1.2000000000000028</v>
      </c>
      <c r="G804">
        <v>-1.2280970314422344</v>
      </c>
      <c r="H804">
        <v>1.3127571359137868E-2</v>
      </c>
      <c r="I804">
        <v>0.19418605498321231</v>
      </c>
    </row>
    <row r="805" spans="2:9" x14ac:dyDescent="0.25">
      <c r="B805" s="2">
        <f t="shared" si="109"/>
        <v>-1.1500000000000028</v>
      </c>
      <c r="C805" s="2">
        <f t="shared" si="110"/>
        <v>0.20593626871997409</v>
      </c>
      <c r="D805" s="2">
        <f t="shared" si="111"/>
        <v>0.12507193563714969</v>
      </c>
      <c r="F805">
        <f t="shared" si="112"/>
        <v>-1.1500000000000028</v>
      </c>
      <c r="G805">
        <v>-1.1789731501845451</v>
      </c>
      <c r="H805">
        <v>1.2630882765448263E-2</v>
      </c>
      <c r="I805">
        <v>0.20593626871997409</v>
      </c>
    </row>
    <row r="806" spans="2:9" x14ac:dyDescent="0.25">
      <c r="B806" s="2">
        <f t="shared" si="109"/>
        <v>-1.1000000000000028</v>
      </c>
      <c r="C806" s="2">
        <f t="shared" si="110"/>
        <v>0.21785217703254989</v>
      </c>
      <c r="D806" s="2">
        <f t="shared" si="111"/>
        <v>0.13566606094638209</v>
      </c>
      <c r="F806">
        <f t="shared" si="112"/>
        <v>-1.1000000000000028</v>
      </c>
      <c r="G806">
        <v>-1.129849268926856</v>
      </c>
      <c r="H806">
        <v>1.2106450694880229E-2</v>
      </c>
      <c r="I806">
        <v>0.21785217703254989</v>
      </c>
    </row>
    <row r="807" spans="2:9" x14ac:dyDescent="0.25">
      <c r="B807" s="2">
        <f t="shared" si="109"/>
        <v>-1.0500000000000027</v>
      </c>
      <c r="C807" s="2">
        <f t="shared" si="110"/>
        <v>0.22988214068423238</v>
      </c>
      <c r="D807" s="2">
        <f t="shared" si="111"/>
        <v>0.1468590563758953</v>
      </c>
      <c r="F807">
        <f t="shared" si="112"/>
        <v>-1.0500000000000027</v>
      </c>
      <c r="G807">
        <v>-1.0807253876691665</v>
      </c>
      <c r="H807">
        <v>1.1559514055140106E-2</v>
      </c>
      <c r="I807">
        <v>0.22988214068423238</v>
      </c>
    </row>
    <row r="808" spans="2:9" x14ac:dyDescent="0.25">
      <c r="B808" s="2">
        <f t="shared" si="109"/>
        <v>-1.0000000000000027</v>
      </c>
      <c r="C808" s="2">
        <f t="shared" si="110"/>
        <v>0.2419707245191427</v>
      </c>
      <c r="D808" s="2">
        <f t="shared" si="111"/>
        <v>0.15865525393145638</v>
      </c>
      <c r="F808">
        <f t="shared" si="112"/>
        <v>-1.0000000000000027</v>
      </c>
      <c r="G808">
        <v>-1.0316015064114767</v>
      </c>
      <c r="H808">
        <v>1.0995438339968654E-2</v>
      </c>
      <c r="I808">
        <v>0.2419707245191427</v>
      </c>
    </row>
    <row r="809" spans="2:9" x14ac:dyDescent="0.25">
      <c r="B809" s="2">
        <f t="shared" si="109"/>
        <v>-0.95000000000000262</v>
      </c>
      <c r="C809" s="2">
        <f t="shared" si="110"/>
        <v>0.25405905646918836</v>
      </c>
      <c r="D809" s="2">
        <f t="shared" si="111"/>
        <v>0.17105612630848116</v>
      </c>
      <c r="F809">
        <f t="shared" si="112"/>
        <v>-0.95000000000000262</v>
      </c>
      <c r="G809">
        <v>-0.98247762515378811</v>
      </c>
      <c r="H809">
        <v>1.0419659460074018E-2</v>
      </c>
      <c r="I809">
        <v>0.25405905646918836</v>
      </c>
    </row>
    <row r="810" spans="2:9" x14ac:dyDescent="0.25">
      <c r="B810" s="2">
        <f t="shared" si="109"/>
        <v>-0.90000000000000258</v>
      </c>
      <c r="C810" s="2">
        <f t="shared" si="110"/>
        <v>0.26608524989875421</v>
      </c>
      <c r="D810" s="2">
        <f t="shared" si="111"/>
        <v>0.18406012534675878</v>
      </c>
      <c r="F810">
        <f t="shared" si="112"/>
        <v>-0.90000000000000258</v>
      </c>
      <c r="G810">
        <v>-0.93335374389609838</v>
      </c>
      <c r="H810">
        <v>9.8376279832747115E-3</v>
      </c>
      <c r="I810">
        <v>0.26608524989875421</v>
      </c>
    </row>
    <row r="811" spans="2:9" x14ac:dyDescent="0.25">
      <c r="B811" s="2">
        <f t="shared" si="109"/>
        <v>-0.85000000000000253</v>
      </c>
      <c r="C811" s="2">
        <f t="shared" si="110"/>
        <v>0.27798488613099587</v>
      </c>
      <c r="D811" s="2">
        <f t="shared" si="111"/>
        <v>0.19766254312269166</v>
      </c>
      <c r="F811">
        <f t="shared" si="112"/>
        <v>-0.85000000000000253</v>
      </c>
      <c r="G811">
        <v>-0.88422986263840864</v>
      </c>
      <c r="H811">
        <v>9.2547543328554121E-3</v>
      </c>
      <c r="I811">
        <v>0.27798488613099587</v>
      </c>
    </row>
    <row r="812" spans="2:9" x14ac:dyDescent="0.25">
      <c r="B812" s="2">
        <f t="shared" si="109"/>
        <v>-0.80000000000000249</v>
      </c>
      <c r="C812" s="2">
        <f t="shared" si="110"/>
        <v>0.28969155276148217</v>
      </c>
      <c r="D812" s="2">
        <f t="shared" si="111"/>
        <v>0.21185539858339594</v>
      </c>
      <c r="F812">
        <f t="shared" si="112"/>
        <v>-0.80000000000000249</v>
      </c>
      <c r="G812">
        <v>-0.83510598138071934</v>
      </c>
      <c r="H812">
        <v>8.6763554726936448E-3</v>
      </c>
      <c r="I812">
        <v>0.28969155276148217</v>
      </c>
    </row>
    <row r="813" spans="2:9" x14ac:dyDescent="0.25">
      <c r="B813" s="2">
        <f t="shared" si="109"/>
        <v>-0.75000000000000244</v>
      </c>
      <c r="C813" s="2">
        <f t="shared" si="110"/>
        <v>0.30113743215480387</v>
      </c>
      <c r="D813" s="2">
        <f t="shared" si="111"/>
        <v>0.22662735237686749</v>
      </c>
      <c r="F813">
        <f t="shared" si="112"/>
        <v>-0.75000000000000244</v>
      </c>
      <c r="G813">
        <v>-0.78598210012303049</v>
      </c>
      <c r="H813">
        <v>8.1076035823945455E-3</v>
      </c>
      <c r="I813">
        <v>0.30113743215480387</v>
      </c>
    </row>
    <row r="814" spans="2:9" x14ac:dyDescent="0.25">
      <c r="B814" s="2">
        <f t="shared" si="109"/>
        <v>-0.7000000000000024</v>
      </c>
      <c r="C814" s="2">
        <f t="shared" si="110"/>
        <v>0.31225393336676072</v>
      </c>
      <c r="D814" s="2">
        <f t="shared" si="111"/>
        <v>0.2419636522230722</v>
      </c>
      <c r="F814">
        <f t="shared" si="112"/>
        <v>-0.7000000000000024</v>
      </c>
      <c r="G814">
        <v>-0.73685821886534075</v>
      </c>
      <c r="H814">
        <v>7.5534771958236224E-3</v>
      </c>
      <c r="I814">
        <v>0.31225393336676072</v>
      </c>
    </row>
    <row r="815" spans="2:9" x14ac:dyDescent="0.25">
      <c r="B815" s="2">
        <f t="shared" si="109"/>
        <v>-0.65000000000000235</v>
      </c>
      <c r="C815" s="2">
        <f t="shared" si="110"/>
        <v>0.32297235966791382</v>
      </c>
      <c r="D815" s="2">
        <f t="shared" si="111"/>
        <v>0.25784611080586395</v>
      </c>
      <c r="F815">
        <f t="shared" si="112"/>
        <v>-0.65000000000000235</v>
      </c>
      <c r="G815">
        <v>-0.6877343376076519</v>
      </c>
      <c r="H815">
        <v>7.0187152424411991E-3</v>
      </c>
      <c r="I815">
        <v>0.32297235966791382</v>
      </c>
    </row>
    <row r="816" spans="2:9" x14ac:dyDescent="0.25">
      <c r="B816" s="2">
        <f t="shared" si="109"/>
        <v>-0.60000000000000231</v>
      </c>
      <c r="C816" s="2">
        <f t="shared" si="110"/>
        <v>0.33322460289179923</v>
      </c>
      <c r="D816" s="2">
        <f t="shared" si="111"/>
        <v>0.27425311775007277</v>
      </c>
      <c r="F816">
        <f t="shared" si="112"/>
        <v>-0.60000000000000231</v>
      </c>
      <c r="G816">
        <v>-0.63861045634996261</v>
      </c>
      <c r="H816">
        <v>6.5077743931389155E-3</v>
      </c>
      <c r="I816">
        <v>0.33322460289179923</v>
      </c>
    </row>
    <row r="817" spans="2:9" x14ac:dyDescent="0.25">
      <c r="B817" s="2">
        <f t="shared" si="109"/>
        <v>-0.55000000000000226</v>
      </c>
      <c r="C817" s="2">
        <f t="shared" si="110"/>
        <v>0.34294385501938346</v>
      </c>
      <c r="D817" s="2">
        <f t="shared" si="111"/>
        <v>0.29115968678834558</v>
      </c>
      <c r="F817">
        <f t="shared" si="112"/>
        <v>-0.55000000000000226</v>
      </c>
      <c r="G817">
        <v>-0.58948657509227287</v>
      </c>
      <c r="H817">
        <v>6.0247900713083571E-3</v>
      </c>
      <c r="I817">
        <v>0.34294385501938346</v>
      </c>
    </row>
    <row r="818" spans="2:9" x14ac:dyDescent="0.25">
      <c r="B818" s="2">
        <f t="shared" si="109"/>
        <v>-0.50000000000000222</v>
      </c>
      <c r="C818" s="2">
        <f t="shared" si="110"/>
        <v>0.35206532676429914</v>
      </c>
      <c r="D818" s="2">
        <f t="shared" si="111"/>
        <v>0.3085375387259861</v>
      </c>
      <c r="F818">
        <f t="shared" si="112"/>
        <v>-0.50000000000000222</v>
      </c>
      <c r="G818">
        <v>-0.54036269383458357</v>
      </c>
      <c r="H818">
        <v>5.5735414461087649E-3</v>
      </c>
      <c r="I818">
        <v>0.35206532676429914</v>
      </c>
    </row>
    <row r="819" spans="2:9" x14ac:dyDescent="0.25">
      <c r="B819" s="2">
        <f t="shared" si="109"/>
        <v>-0.45000000000000223</v>
      </c>
      <c r="C819" s="2">
        <f t="shared" si="110"/>
        <v>0.36052696246164762</v>
      </c>
      <c r="D819" s="2">
        <f t="shared" si="111"/>
        <v>0.32635522028791919</v>
      </c>
      <c r="F819">
        <f t="shared" si="112"/>
        <v>-0.45000000000000223</v>
      </c>
      <c r="G819">
        <v>-0.49123881257689428</v>
      </c>
      <c r="H819">
        <v>5.1574206788372401E-3</v>
      </c>
      <c r="I819">
        <v>0.36052696246164762</v>
      </c>
    </row>
    <row r="820" spans="2:9" x14ac:dyDescent="0.25">
      <c r="B820" s="2">
        <f t="shared" si="109"/>
        <v>-0.40000000000000224</v>
      </c>
      <c r="C820" s="2">
        <f t="shared" si="110"/>
        <v>0.368270140303323</v>
      </c>
      <c r="D820" s="2">
        <f t="shared" si="111"/>
        <v>0.34457825838967499</v>
      </c>
      <c r="F820">
        <f t="shared" si="112"/>
        <v>-0.40000000000000224</v>
      </c>
      <c r="G820">
        <v>-0.44211493131920498</v>
      </c>
      <c r="H820">
        <v>4.7794066454468469E-3</v>
      </c>
      <c r="I820">
        <v>0.368270140303323</v>
      </c>
    </row>
    <row r="821" spans="2:9" x14ac:dyDescent="0.25">
      <c r="B821" s="2">
        <f t="shared" si="109"/>
        <v>-0.35000000000000225</v>
      </c>
      <c r="C821" s="2">
        <f t="shared" si="110"/>
        <v>0.37524034691693758</v>
      </c>
      <c r="D821" s="2">
        <f t="shared" si="111"/>
        <v>0.36316934882438012</v>
      </c>
      <c r="F821">
        <f t="shared" si="112"/>
        <v>-0.35000000000000225</v>
      </c>
      <c r="G821">
        <v>-0.39299105006151525</v>
      </c>
      <c r="H821">
        <v>4.4420433091191336E-3</v>
      </c>
      <c r="I821">
        <v>0.37524034691693758</v>
      </c>
    </row>
    <row r="822" spans="2:9" x14ac:dyDescent="0.25">
      <c r="B822" s="2">
        <f t="shared" si="109"/>
        <v>-0.30000000000000226</v>
      </c>
      <c r="C822" s="2">
        <f t="shared" si="110"/>
        <v>0.38138781546052386</v>
      </c>
      <c r="D822" s="2">
        <f t="shared" si="111"/>
        <v>0.38208857781104649</v>
      </c>
      <c r="F822">
        <f t="shared" si="112"/>
        <v>-0.30000000000000226</v>
      </c>
      <c r="G822">
        <v>-0.3438671688038264</v>
      </c>
      <c r="H822">
        <v>4.1474228668941845E-3</v>
      </c>
      <c r="I822">
        <v>0.38138781546052386</v>
      </c>
    </row>
    <row r="823" spans="2:9" x14ac:dyDescent="0.25">
      <c r="B823" s="2">
        <f t="shared" si="109"/>
        <v>-0.25000000000000228</v>
      </c>
      <c r="C823" s="2">
        <f t="shared" si="110"/>
        <v>0.38666811680284902</v>
      </c>
      <c r="D823" s="2">
        <f t="shared" si="111"/>
        <v>0.40129367431707541</v>
      </c>
      <c r="F823">
        <f t="shared" si="112"/>
        <v>-0.25000000000000228</v>
      </c>
      <c r="G823">
        <v>-0.2947432875461371</v>
      </c>
      <c r="H823">
        <v>3.8971737442070526E-3</v>
      </c>
      <c r="I823">
        <v>0.38666811680284902</v>
      </c>
    </row>
    <row r="824" spans="2:9" x14ac:dyDescent="0.25">
      <c r="B824" s="2">
        <f t="shared" si="109"/>
        <v>-0.20000000000000229</v>
      </c>
      <c r="C824" s="2">
        <f t="shared" si="110"/>
        <v>0.39104269397545571</v>
      </c>
      <c r="D824" s="2">
        <f t="shared" si="111"/>
        <v>0.42074029056089607</v>
      </c>
      <c r="F824">
        <f t="shared" si="112"/>
        <v>-0.20000000000000229</v>
      </c>
      <c r="G824">
        <v>-0.24561940628844736</v>
      </c>
      <c r="H824">
        <v>3.6924534612805572E-3</v>
      </c>
      <c r="I824">
        <v>0.39104269397545571</v>
      </c>
    </row>
    <row r="825" spans="2:9" x14ac:dyDescent="0.25">
      <c r="B825" s="2">
        <f t="shared" si="109"/>
        <v>-0.1500000000000023</v>
      </c>
      <c r="C825" s="2">
        <f t="shared" si="110"/>
        <v>0.39447933090788878</v>
      </c>
      <c r="D825" s="2">
        <f t="shared" si="111"/>
        <v>0.44038230762975655</v>
      </c>
      <c r="F825">
        <f t="shared" si="112"/>
        <v>-0.1500000000000023</v>
      </c>
      <c r="G825">
        <v>-0.19649552503075807</v>
      </c>
      <c r="H825">
        <v>3.5339463461742265E-3</v>
      </c>
      <c r="I825">
        <v>0.39447933090788878</v>
      </c>
    </row>
    <row r="826" spans="2:9" x14ac:dyDescent="0.25">
      <c r="B826" s="2">
        <f t="shared" si="109"/>
        <v>-0.1000000000000023</v>
      </c>
      <c r="C826" s="2">
        <f t="shared" si="110"/>
        <v>0.3969525474770117</v>
      </c>
      <c r="D826" s="2">
        <f t="shared" si="111"/>
        <v>0.46017216272297012</v>
      </c>
      <c r="F826">
        <f t="shared" si="112"/>
        <v>-0.1000000000000023</v>
      </c>
      <c r="G826">
        <v>-0.14737164377306877</v>
      </c>
      <c r="H826">
        <v>3.421866021364029E-3</v>
      </c>
      <c r="I826">
        <v>0.3969525474770117</v>
      </c>
    </row>
    <row r="827" spans="2:9" x14ac:dyDescent="0.25">
      <c r="B827" s="2">
        <f t="shared" si="109"/>
        <v>-5.0000000000002293E-2</v>
      </c>
      <c r="C827" s="2">
        <f t="shared" si="110"/>
        <v>0.39844391409476398</v>
      </c>
      <c r="D827" s="2">
        <f t="shared" si="111"/>
        <v>0.48006119416162663</v>
      </c>
      <c r="F827">
        <f t="shared" si="112"/>
        <v>-5.0000000000002293E-2</v>
      </c>
      <c r="G827">
        <v>-9.8247762515379478E-2</v>
      </c>
      <c r="H827">
        <v>3.3559625444820121E-3</v>
      </c>
      <c r="I827">
        <v>0.39844391409476398</v>
      </c>
    </row>
    <row r="828" spans="2:9" x14ac:dyDescent="0.25">
      <c r="B828" s="2">
        <f t="shared" si="109"/>
        <v>-2.2898349882893854E-15</v>
      </c>
      <c r="C828" s="2">
        <f t="shared" si="110"/>
        <v>0.3989422804014327</v>
      </c>
      <c r="D828" s="2">
        <f t="shared" si="111"/>
        <v>0.49999999999999911</v>
      </c>
      <c r="F828">
        <f t="shared" si="112"/>
        <v>-2.2898349882893854E-15</v>
      </c>
      <c r="G828">
        <v>-4.9123881257690627E-2</v>
      </c>
      <c r="H828">
        <v>3.3355340397077898E-3</v>
      </c>
      <c r="I828">
        <v>0.3989422804014327</v>
      </c>
    </row>
    <row r="829" spans="2:9" x14ac:dyDescent="0.25">
      <c r="B829" s="2">
        <f t="shared" si="109"/>
        <v>4.9999999999997713E-2</v>
      </c>
      <c r="C829" s="2">
        <f t="shared" ref="C829:C890" si="113">_xlfn.NORM.DIST(B829,0,1,FALSE)</f>
        <v>0.3984439140947641</v>
      </c>
      <c r="D829" s="2">
        <f t="shared" ref="D829:D890" si="114">_xlfn.NORM.DIST(B829,0,1,TRUE)</f>
        <v>0.5199388058383716</v>
      </c>
      <c r="F829">
        <f t="shared" si="112"/>
        <v>4.9999999999997713E-2</v>
      </c>
      <c r="G829">
        <v>0</v>
      </c>
      <c r="H829">
        <v>3.3594426146742891E-3</v>
      </c>
      <c r="I829">
        <v>0.3984439140947641</v>
      </c>
    </row>
    <row r="830" spans="2:9" x14ac:dyDescent="0.25">
      <c r="B830" s="2">
        <f t="shared" si="109"/>
        <v>9.9999999999997716E-2</v>
      </c>
      <c r="C830" s="2">
        <f t="shared" si="113"/>
        <v>0.39695254747701186</v>
      </c>
      <c r="D830" s="2">
        <f t="shared" si="114"/>
        <v>0.5398278372770281</v>
      </c>
      <c r="F830">
        <f t="shared" si="112"/>
        <v>9.9999999999997716E-2</v>
      </c>
      <c r="G830">
        <v>4.9123881257687962E-2</v>
      </c>
      <c r="H830">
        <v>3.426134318994559E-3</v>
      </c>
      <c r="I830">
        <v>0.39695254747701186</v>
      </c>
    </row>
    <row r="831" spans="2:9" x14ac:dyDescent="0.25">
      <c r="B831" s="2">
        <f t="shared" si="109"/>
        <v>0.14999999999999772</v>
      </c>
      <c r="C831" s="2">
        <f t="shared" si="113"/>
        <v>0.39447933090788906</v>
      </c>
      <c r="D831" s="2">
        <f t="shared" si="114"/>
        <v>0.55961769237024162</v>
      </c>
      <c r="F831">
        <f t="shared" si="112"/>
        <v>0.14999999999999772</v>
      </c>
      <c r="G831">
        <v>9.8247762515378145E-2</v>
      </c>
      <c r="H831">
        <v>3.5336628649649789E-3</v>
      </c>
      <c r="I831">
        <v>0.39447933090788906</v>
      </c>
    </row>
    <row r="832" spans="2:9" x14ac:dyDescent="0.25">
      <c r="B832" s="2">
        <f t="shared" ref="B832:B890" si="115">B831+$A$768</f>
        <v>0.19999999999999774</v>
      </c>
      <c r="C832" s="2">
        <f t="shared" si="113"/>
        <v>0.39104269397545605</v>
      </c>
      <c r="D832" s="2">
        <f t="shared" si="114"/>
        <v>0.5792597094391021</v>
      </c>
      <c r="F832">
        <f t="shared" si="112"/>
        <v>0.19999999999999774</v>
      </c>
      <c r="G832">
        <v>0.14737164377306744</v>
      </c>
      <c r="H832">
        <v>3.6797167989448096E-3</v>
      </c>
      <c r="I832">
        <v>0.39104269397545605</v>
      </c>
    </row>
    <row r="833" spans="2:9" x14ac:dyDescent="0.25">
      <c r="B833" s="2">
        <f t="shared" si="115"/>
        <v>0.24999999999999772</v>
      </c>
      <c r="C833" s="2">
        <f t="shared" si="113"/>
        <v>0.38666811680284946</v>
      </c>
      <c r="D833" s="2">
        <f t="shared" si="114"/>
        <v>0.59870632568292281</v>
      </c>
      <c r="F833">
        <f t="shared" ref="F833:F890" si="116">B833</f>
        <v>0.24999999999999772</v>
      </c>
      <c r="G833">
        <v>0.19649552503075629</v>
      </c>
      <c r="H833">
        <v>3.8616497836035475E-3</v>
      </c>
      <c r="I833">
        <v>0.38666811680284946</v>
      </c>
    </row>
    <row r="834" spans="2:9" x14ac:dyDescent="0.25">
      <c r="B834" s="2">
        <f t="shared" si="115"/>
        <v>0.29999999999999771</v>
      </c>
      <c r="C834" s="2">
        <f t="shared" si="113"/>
        <v>0.38138781546052436</v>
      </c>
      <c r="D834" s="2">
        <f t="shared" si="114"/>
        <v>0.61791142218895179</v>
      </c>
      <c r="F834">
        <f t="shared" si="116"/>
        <v>0.29999999999999771</v>
      </c>
      <c r="G834">
        <v>0.24561940628844603</v>
      </c>
      <c r="H834">
        <v>4.0765136268747972E-3</v>
      </c>
      <c r="I834">
        <v>0.38138781546052436</v>
      </c>
    </row>
    <row r="835" spans="2:9" x14ac:dyDescent="0.25">
      <c r="B835" s="2">
        <f t="shared" si="115"/>
        <v>0.3499999999999977</v>
      </c>
      <c r="C835" s="2">
        <f t="shared" si="113"/>
        <v>0.37524034691693819</v>
      </c>
      <c r="D835" s="2">
        <f t="shared" si="114"/>
        <v>0.63683065117561821</v>
      </c>
      <c r="F835">
        <f t="shared" si="116"/>
        <v>0.3499999999999977</v>
      </c>
      <c r="G835">
        <v>0.29474328754613488</v>
      </c>
      <c r="H835">
        <v>4.3210936732232339E-3</v>
      </c>
      <c r="I835">
        <v>0.37524034691693819</v>
      </c>
    </row>
    <row r="836" spans="2:9" x14ac:dyDescent="0.25">
      <c r="B836" s="2">
        <f t="shared" si="115"/>
        <v>0.39999999999999769</v>
      </c>
      <c r="C836" s="2">
        <f t="shared" si="113"/>
        <v>0.36827014030332367</v>
      </c>
      <c r="D836" s="2">
        <f t="shared" si="114"/>
        <v>0.65542174161032341</v>
      </c>
      <c r="F836">
        <f t="shared" si="116"/>
        <v>0.39999999999999769</v>
      </c>
      <c r="G836">
        <v>0.34386716880382462</v>
      </c>
      <c r="H836">
        <v>4.591946156840299E-3</v>
      </c>
      <c r="I836">
        <v>0.36827014030332367</v>
      </c>
    </row>
    <row r="837" spans="2:9" x14ac:dyDescent="0.25">
      <c r="B837" s="2">
        <f t="shared" si="115"/>
        <v>0.44999999999999768</v>
      </c>
      <c r="C837" s="2">
        <f t="shared" si="113"/>
        <v>0.36052696246164834</v>
      </c>
      <c r="D837" s="2">
        <f t="shared" si="114"/>
        <v>0.67364477971207914</v>
      </c>
      <c r="F837">
        <f t="shared" si="116"/>
        <v>0.44999999999999768</v>
      </c>
      <c r="G837">
        <v>0.39299105006151347</v>
      </c>
      <c r="H837">
        <v>4.8854371047103162E-3</v>
      </c>
      <c r="I837">
        <v>0.36052696246164834</v>
      </c>
    </row>
    <row r="838" spans="2:9" x14ac:dyDescent="0.25">
      <c r="B838" s="2">
        <f t="shared" si="115"/>
        <v>0.49999999999999767</v>
      </c>
      <c r="C838" s="2">
        <f t="shared" si="113"/>
        <v>0.35206532676429991</v>
      </c>
      <c r="D838" s="2">
        <f t="shared" si="114"/>
        <v>0.69146246127401234</v>
      </c>
      <c r="F838">
        <f t="shared" si="116"/>
        <v>0.49999999999999767</v>
      </c>
      <c r="G838">
        <v>0.44211493131920321</v>
      </c>
      <c r="H838">
        <v>5.1977823701629183E-3</v>
      </c>
      <c r="I838">
        <v>0.35206532676429991</v>
      </c>
    </row>
    <row r="839" spans="2:9" x14ac:dyDescent="0.25">
      <c r="B839" s="2">
        <f t="shared" si="115"/>
        <v>0.54999999999999771</v>
      </c>
      <c r="C839" s="2">
        <f t="shared" si="113"/>
        <v>0.34294385501938435</v>
      </c>
      <c r="D839" s="2">
        <f t="shared" si="114"/>
        <v>0.70884031321165286</v>
      </c>
      <c r="F839">
        <f t="shared" si="116"/>
        <v>0.54999999999999771</v>
      </c>
      <c r="G839">
        <v>0.49123881257689206</v>
      </c>
      <c r="H839">
        <v>5.5250883745370741E-3</v>
      </c>
      <c r="I839">
        <v>0.34294385501938435</v>
      </c>
    </row>
    <row r="840" spans="2:9" x14ac:dyDescent="0.25">
      <c r="B840" s="2">
        <f t="shared" si="115"/>
        <v>0.59999999999999776</v>
      </c>
      <c r="C840" s="2">
        <f t="shared" si="113"/>
        <v>0.33322460289180011</v>
      </c>
      <c r="D840" s="2">
        <f t="shared" si="114"/>
        <v>0.72574688224992567</v>
      </c>
      <c r="F840">
        <f t="shared" si="116"/>
        <v>0.59999999999999776</v>
      </c>
      <c r="G840">
        <v>0.5403626938345818</v>
      </c>
      <c r="H840">
        <v>5.8633931358707406E-3</v>
      </c>
      <c r="I840">
        <v>0.33322460289180011</v>
      </c>
    </row>
    <row r="841" spans="2:9" x14ac:dyDescent="0.25">
      <c r="B841" s="2">
        <f t="shared" si="115"/>
        <v>0.6499999999999978</v>
      </c>
      <c r="C841" s="2">
        <f t="shared" si="113"/>
        <v>0.32297235966791477</v>
      </c>
      <c r="D841" s="2">
        <f t="shared" si="114"/>
        <v>0.74215388919413461</v>
      </c>
      <c r="F841">
        <f t="shared" si="116"/>
        <v>0.6499999999999978</v>
      </c>
      <c r="G841">
        <v>0.58948657509227154</v>
      </c>
      <c r="H841">
        <v>6.2087071690004611E-3</v>
      </c>
      <c r="I841">
        <v>0.32297235966791477</v>
      </c>
    </row>
    <row r="842" spans="2:9" x14ac:dyDescent="0.25">
      <c r="B842" s="2">
        <f t="shared" si="115"/>
        <v>0.69999999999999785</v>
      </c>
      <c r="C842" s="2">
        <f t="shared" si="113"/>
        <v>0.31225393336676177</v>
      </c>
      <c r="D842" s="2">
        <f t="shared" si="114"/>
        <v>0.7580363477769263</v>
      </c>
      <c r="F842">
        <f t="shared" si="116"/>
        <v>0.69999999999999785</v>
      </c>
      <c r="G842">
        <v>0.63861045634996083</v>
      </c>
      <c r="H842">
        <v>6.5570538509698581E-3</v>
      </c>
      <c r="I842">
        <v>0.31225393336676177</v>
      </c>
    </row>
    <row r="843" spans="2:9" x14ac:dyDescent="0.25">
      <c r="B843" s="2">
        <f t="shared" si="115"/>
        <v>0.74999999999999789</v>
      </c>
      <c r="C843" s="2">
        <f t="shared" si="113"/>
        <v>0.30113743215480487</v>
      </c>
      <c r="D843" s="2">
        <f t="shared" si="114"/>
        <v>0.77337264762313118</v>
      </c>
      <c r="F843">
        <f t="shared" si="116"/>
        <v>0.74999999999999789</v>
      </c>
      <c r="G843">
        <v>0.68773433760765013</v>
      </c>
      <c r="H843">
        <v>6.904508859029536E-3</v>
      </c>
      <c r="I843">
        <v>0.30113743215480487</v>
      </c>
    </row>
    <row r="844" spans="2:9" x14ac:dyDescent="0.25">
      <c r="B844" s="2">
        <f t="shared" si="115"/>
        <v>0.79999999999999793</v>
      </c>
      <c r="C844" s="2">
        <f t="shared" si="113"/>
        <v>0.28969155276148323</v>
      </c>
      <c r="D844" s="2">
        <f t="shared" si="114"/>
        <v>0.7881446014166027</v>
      </c>
      <c r="F844">
        <f t="shared" si="116"/>
        <v>0.79999999999999793</v>
      </c>
      <c r="G844">
        <v>0.73685821886533898</v>
      </c>
      <c r="H844">
        <v>7.2472383055532368E-3</v>
      </c>
      <c r="I844">
        <v>0.28969155276148323</v>
      </c>
    </row>
    <row r="845" spans="2:9" x14ac:dyDescent="0.25">
      <c r="B845" s="2">
        <f t="shared" si="115"/>
        <v>0.84999999999999798</v>
      </c>
      <c r="C845" s="2">
        <f t="shared" si="113"/>
        <v>0.27798488613099692</v>
      </c>
      <c r="D845" s="2">
        <f t="shared" si="114"/>
        <v>0.80233745687730706</v>
      </c>
      <c r="F845">
        <f t="shared" si="116"/>
        <v>0.84999999999999798</v>
      </c>
      <c r="G845">
        <v>0.78598210012302916</v>
      </c>
      <c r="H845">
        <v>7.5815352146535262E-3</v>
      </c>
      <c r="I845">
        <v>0.27798488613099692</v>
      </c>
    </row>
    <row r="846" spans="2:9" x14ac:dyDescent="0.25">
      <c r="B846" s="2">
        <f t="shared" si="115"/>
        <v>0.89999999999999802</v>
      </c>
      <c r="C846" s="2">
        <f t="shared" si="113"/>
        <v>0.26608524989875532</v>
      </c>
      <c r="D846" s="2">
        <f t="shared" si="114"/>
        <v>0.81593987465324003</v>
      </c>
      <c r="F846">
        <f t="shared" si="116"/>
        <v>0.89999999999999802</v>
      </c>
      <c r="G846">
        <v>0.83510598138071757</v>
      </c>
      <c r="H846">
        <v>7.9038540088824799E-3</v>
      </c>
      <c r="I846">
        <v>0.26608524989875532</v>
      </c>
    </row>
    <row r="847" spans="2:9" x14ac:dyDescent="0.25">
      <c r="B847" s="2">
        <f t="shared" si="115"/>
        <v>0.94999999999999807</v>
      </c>
      <c r="C847" s="2">
        <f t="shared" si="113"/>
        <v>0.25405905646918947</v>
      </c>
      <c r="D847" s="2">
        <f t="shared" si="114"/>
        <v>0.82894387369151779</v>
      </c>
      <c r="F847">
        <f t="shared" si="116"/>
        <v>0.94999999999999807</v>
      </c>
      <c r="G847">
        <v>0.8842298626384073</v>
      </c>
      <c r="H847">
        <v>8.21084270085113E-3</v>
      </c>
      <c r="I847">
        <v>0.25405905646918947</v>
      </c>
    </row>
    <row r="848" spans="2:9" x14ac:dyDescent="0.25">
      <c r="B848" s="2">
        <f t="shared" si="115"/>
        <v>0.99999999999999811</v>
      </c>
      <c r="C848" s="2">
        <f t="shared" si="113"/>
        <v>0.24197072451914381</v>
      </c>
      <c r="D848" s="2">
        <f t="shared" si="114"/>
        <v>0.84134474606854248</v>
      </c>
      <c r="F848">
        <f t="shared" si="116"/>
        <v>0.99999999999999811</v>
      </c>
      <c r="G848">
        <v>0.93335374389609704</v>
      </c>
      <c r="H848">
        <v>8.4993725135748526E-3</v>
      </c>
      <c r="I848">
        <v>0.24197072451914381</v>
      </c>
    </row>
    <row r="849" spans="2:9" x14ac:dyDescent="0.25">
      <c r="B849" s="2">
        <f t="shared" si="115"/>
        <v>1.049999999999998</v>
      </c>
      <c r="C849" s="2">
        <f t="shared" si="113"/>
        <v>0.22988214068423349</v>
      </c>
      <c r="D849" s="2">
        <f t="shared" si="114"/>
        <v>0.85314094362410364</v>
      </c>
      <c r="F849">
        <f t="shared" si="116"/>
        <v>1.049999999999998</v>
      </c>
      <c r="G849">
        <v>0.98247762515378545</v>
      </c>
      <c r="H849">
        <v>8.766564684511197E-3</v>
      </c>
      <c r="I849">
        <v>0.22988214068423349</v>
      </c>
    </row>
    <row r="850" spans="2:9" x14ac:dyDescent="0.25">
      <c r="B850" s="2">
        <f t="shared" si="115"/>
        <v>1.0999999999999981</v>
      </c>
      <c r="C850" s="2">
        <f t="shared" si="113"/>
        <v>0.21785217703255103</v>
      </c>
      <c r="D850" s="2">
        <f t="shared" si="114"/>
        <v>0.86433393905361688</v>
      </c>
      <c r="F850">
        <f t="shared" si="116"/>
        <v>1.0999999999999981</v>
      </c>
      <c r="G850">
        <v>1.0316015064114756</v>
      </c>
      <c r="H850">
        <v>9.0098142412470862E-3</v>
      </c>
      <c r="I850">
        <v>0.21785217703255103</v>
      </c>
    </row>
    <row r="851" spans="2:9" x14ac:dyDescent="0.25">
      <c r="B851" s="2">
        <f t="shared" si="115"/>
        <v>1.1499999999999981</v>
      </c>
      <c r="C851" s="2">
        <f t="shared" si="113"/>
        <v>0.20593626871997517</v>
      </c>
      <c r="D851" s="2">
        <f t="shared" si="114"/>
        <v>0.87492806436284942</v>
      </c>
      <c r="F851">
        <f t="shared" si="116"/>
        <v>1.1499999999999981</v>
      </c>
      <c r="G851">
        <v>1.0807253876691645</v>
      </c>
      <c r="H851">
        <v>9.2268105712481844E-3</v>
      </c>
      <c r="I851">
        <v>0.20593626871997517</v>
      </c>
    </row>
    <row r="852" spans="2:9" x14ac:dyDescent="0.25">
      <c r="B852" s="2">
        <f t="shared" si="115"/>
        <v>1.1999999999999982</v>
      </c>
      <c r="C852" s="2">
        <f t="shared" si="113"/>
        <v>0.19418605498321337</v>
      </c>
      <c r="D852" s="2">
        <f t="shared" si="114"/>
        <v>0.88493032977829145</v>
      </c>
      <c r="F852">
        <f t="shared" si="116"/>
        <v>1.1999999999999982</v>
      </c>
      <c r="G852">
        <v>1.1298492689268533</v>
      </c>
      <c r="H852">
        <v>9.4155546436309797E-3</v>
      </c>
      <c r="I852">
        <v>0.19418605498321337</v>
      </c>
    </row>
    <row r="853" spans="2:9" x14ac:dyDescent="0.25">
      <c r="B853" s="2">
        <f t="shared" si="115"/>
        <v>1.2499999999999982</v>
      </c>
      <c r="C853" s="2">
        <f t="shared" si="113"/>
        <v>0.18264908538902233</v>
      </c>
      <c r="D853" s="2">
        <f t="shared" si="114"/>
        <v>0.89435022633314443</v>
      </c>
      <c r="F853">
        <f t="shared" si="116"/>
        <v>1.2499999999999982</v>
      </c>
      <c r="G853">
        <v>1.1789731501845431</v>
      </c>
      <c r="H853">
        <v>9.5743727771813725E-3</v>
      </c>
      <c r="I853">
        <v>0.18264908538902233</v>
      </c>
    </row>
    <row r="854" spans="2:9" x14ac:dyDescent="0.25">
      <c r="B854" s="2">
        <f t="shared" si="115"/>
        <v>1.2999999999999983</v>
      </c>
      <c r="C854" s="2">
        <f t="shared" si="113"/>
        <v>0.17136859204780774</v>
      </c>
      <c r="D854" s="2">
        <f t="shared" si="114"/>
        <v>0.90319951541438936</v>
      </c>
      <c r="F854">
        <f t="shared" si="116"/>
        <v>1.2999999999999983</v>
      </c>
      <c r="G854">
        <v>1.2280970314422328</v>
      </c>
      <c r="H854">
        <v>9.7019268854452393E-3</v>
      </c>
      <c r="I854">
        <v>0.17136859204780774</v>
      </c>
    </row>
    <row r="855" spans="2:9" x14ac:dyDescent="0.25">
      <c r="B855" s="2">
        <f t="shared" si="115"/>
        <v>1.3499999999999983</v>
      </c>
      <c r="C855" s="2">
        <f t="shared" si="113"/>
        <v>0.16038332734191996</v>
      </c>
      <c r="D855" s="2">
        <f t="shared" si="114"/>
        <v>0.91149200856259771</v>
      </c>
      <c r="F855">
        <f t="shared" si="116"/>
        <v>1.3499999999999983</v>
      </c>
      <c r="G855">
        <v>1.2772209126999226</v>
      </c>
      <c r="H855">
        <v>9.7972211662849373E-3</v>
      </c>
      <c r="I855">
        <v>0.16038332734191996</v>
      </c>
    </row>
    <row r="856" spans="2:9" x14ac:dyDescent="0.25">
      <c r="B856" s="2">
        <f t="shared" si="115"/>
        <v>1.3999999999999984</v>
      </c>
      <c r="C856" s="2">
        <f t="shared" si="113"/>
        <v>0.14972746563574521</v>
      </c>
      <c r="D856" s="2">
        <f t="shared" si="114"/>
        <v>0.91924334076622871</v>
      </c>
      <c r="F856">
        <f t="shared" si="116"/>
        <v>1.3999999999999984</v>
      </c>
      <c r="G856">
        <v>1.3263447939576105</v>
      </c>
      <c r="H856">
        <v>9.8596052394654566E-3</v>
      </c>
      <c r="I856">
        <v>0.14972746563574521</v>
      </c>
    </row>
    <row r="857" spans="2:9" x14ac:dyDescent="0.25">
      <c r="B857" s="2">
        <f t="shared" si="115"/>
        <v>1.4499999999999984</v>
      </c>
      <c r="C857" s="2">
        <f t="shared" si="113"/>
        <v>0.13943056644536062</v>
      </c>
      <c r="D857" s="2">
        <f t="shared" si="114"/>
        <v>0.92647074039035138</v>
      </c>
      <c r="F857">
        <f t="shared" si="116"/>
        <v>1.4499999999999984</v>
      </c>
      <c r="G857">
        <v>1.3754686752153011</v>
      </c>
      <c r="H857">
        <v>9.8887737712521281E-3</v>
      </c>
      <c r="I857">
        <v>0.13943056644536062</v>
      </c>
    </row>
    <row r="858" spans="2:9" x14ac:dyDescent="0.25">
      <c r="B858" s="2">
        <f t="shared" si="115"/>
        <v>1.4999999999999984</v>
      </c>
      <c r="C858" s="2">
        <f t="shared" si="113"/>
        <v>0.12951759566589202</v>
      </c>
      <c r="D858" s="2">
        <f t="shared" si="114"/>
        <v>0.9331927987311418</v>
      </c>
      <c r="F858">
        <f t="shared" si="116"/>
        <v>1.4999999999999984</v>
      </c>
      <c r="G858">
        <v>1.42459255647299</v>
      </c>
      <c r="H858">
        <v>9.884762659329107E-3</v>
      </c>
      <c r="I858">
        <v>0.12951759566589202</v>
      </c>
    </row>
    <row r="859" spans="2:9" x14ac:dyDescent="0.25">
      <c r="B859" s="2">
        <f t="shared" si="115"/>
        <v>1.5499999999999985</v>
      </c>
      <c r="C859" s="2">
        <f t="shared" si="113"/>
        <v>0.12000900069698586</v>
      </c>
      <c r="D859" s="2">
        <f t="shared" si="114"/>
        <v>0.93942924199794087</v>
      </c>
      <c r="F859">
        <f t="shared" si="116"/>
        <v>1.5499999999999985</v>
      </c>
      <c r="G859">
        <v>1.4737164377306788</v>
      </c>
      <c r="H859">
        <v>9.8479418842629413E-3</v>
      </c>
      <c r="I859">
        <v>0.12000900069698586</v>
      </c>
    </row>
    <row r="860" spans="2:9" x14ac:dyDescent="0.25">
      <c r="B860" s="2">
        <f t="shared" si="115"/>
        <v>1.5999999999999985</v>
      </c>
      <c r="C860" s="2">
        <f t="shared" si="113"/>
        <v>0.11092083467945583</v>
      </c>
      <c r="D860" s="2">
        <f t="shared" si="114"/>
        <v>0.94520070830044189</v>
      </c>
      <c r="F860">
        <f t="shared" si="116"/>
        <v>1.5999999999999985</v>
      </c>
      <c r="G860">
        <v>1.5228403189883686</v>
      </c>
      <c r="H860">
        <v>9.7790051649376247E-3</v>
      </c>
      <c r="I860">
        <v>0.11092083467945583</v>
      </c>
    </row>
    <row r="861" spans="2:9" x14ac:dyDescent="0.25">
      <c r="B861" s="2">
        <f t="shared" si="115"/>
        <v>1.6499999999999986</v>
      </c>
      <c r="C861" s="2">
        <f t="shared" si="113"/>
        <v>0.10226492456397825</v>
      </c>
      <c r="D861" s="2">
        <f t="shared" si="114"/>
        <v>0.95052853196635179</v>
      </c>
      <c r="F861">
        <f t="shared" si="116"/>
        <v>1.6499999999999986</v>
      </c>
      <c r="G861">
        <v>1.5719642002460583</v>
      </c>
      <c r="H861">
        <v>9.6789565845986601E-3</v>
      </c>
      <c r="I861">
        <v>0.10226492456397825</v>
      </c>
    </row>
    <row r="862" spans="2:9" x14ac:dyDescent="0.25">
      <c r="B862" s="2">
        <f t="shared" si="115"/>
        <v>1.6999999999999986</v>
      </c>
      <c r="C862" s="2">
        <f t="shared" si="113"/>
        <v>9.4049077376887155E-2</v>
      </c>
      <c r="D862" s="2">
        <f t="shared" si="114"/>
        <v>0.95543453724145688</v>
      </c>
      <c r="F862">
        <f t="shared" si="116"/>
        <v>1.6999999999999986</v>
      </c>
      <c r="G862">
        <v>1.6210880815037481</v>
      </c>
      <c r="H862">
        <v>9.5490943811115062E-3</v>
      </c>
      <c r="I862">
        <v>9.4049077376887155E-2</v>
      </c>
    </row>
    <row r="863" spans="2:9" x14ac:dyDescent="0.25">
      <c r="B863" s="2">
        <f t="shared" si="115"/>
        <v>1.7499999999999987</v>
      </c>
      <c r="C863" s="2">
        <f t="shared" si="113"/>
        <v>8.6277318826511712E-2</v>
      </c>
      <c r="D863" s="2">
        <f t="shared" si="114"/>
        <v>0.95994084313618278</v>
      </c>
      <c r="F863">
        <f t="shared" si="116"/>
        <v>1.7499999999999987</v>
      </c>
      <c r="G863">
        <v>1.670211962761436</v>
      </c>
      <c r="H863">
        <v>9.3909921195391554E-3</v>
      </c>
      <c r="I863">
        <v>8.6277318826511712E-2</v>
      </c>
    </row>
    <row r="864" spans="2:9" x14ac:dyDescent="0.25">
      <c r="B864" s="2">
        <f t="shared" si="115"/>
        <v>1.7999999999999987</v>
      </c>
      <c r="C864" s="2">
        <f t="shared" si="113"/>
        <v>7.8950158300894344E-2</v>
      </c>
      <c r="D864" s="2">
        <f t="shared" si="114"/>
        <v>0.96406968088707412</v>
      </c>
      <c r="F864">
        <f t="shared" si="116"/>
        <v>1.7999999999999987</v>
      </c>
      <c r="G864">
        <v>1.7193358440191266</v>
      </c>
      <c r="H864">
        <v>9.2064774869788837E-3</v>
      </c>
      <c r="I864">
        <v>7.8950158300894344E-2</v>
      </c>
    </row>
    <row r="865" spans="2:9" x14ac:dyDescent="0.25">
      <c r="B865" s="2">
        <f t="shared" si="115"/>
        <v>1.8499999999999988</v>
      </c>
      <c r="C865" s="2">
        <f t="shared" si="113"/>
        <v>7.2064874336218165E-2</v>
      </c>
      <c r="D865" s="2">
        <f t="shared" si="114"/>
        <v>0.96784322520438626</v>
      </c>
      <c r="F865">
        <f t="shared" si="116"/>
        <v>1.8499999999999988</v>
      </c>
      <c r="G865">
        <v>1.7684597252768146</v>
      </c>
      <c r="H865">
        <v>8.9976089686036338E-3</v>
      </c>
      <c r="I865">
        <v>7.2064874336218165E-2</v>
      </c>
    </row>
    <row r="866" spans="2:9" x14ac:dyDescent="0.25">
      <c r="B866" s="2">
        <f t="shared" si="115"/>
        <v>1.8999999999999988</v>
      </c>
      <c r="C866" s="2">
        <f t="shared" si="113"/>
        <v>6.5615814774676734E-2</v>
      </c>
      <c r="D866" s="2">
        <f t="shared" si="114"/>
        <v>0.97128344018399815</v>
      </c>
      <c r="F866">
        <f t="shared" si="116"/>
        <v>1.8999999999999988</v>
      </c>
      <c r="G866">
        <v>1.8175836065345043</v>
      </c>
      <c r="H866">
        <v>8.7666506798955574E-3</v>
      </c>
      <c r="I866">
        <v>6.5615814774676734E-2</v>
      </c>
    </row>
    <row r="867" spans="2:9" x14ac:dyDescent="0.25">
      <c r="B867" s="2">
        <f t="shared" si="115"/>
        <v>1.9499999999999988</v>
      </c>
      <c r="C867" s="2">
        <f t="shared" si="113"/>
        <v>5.9594706068816207E-2</v>
      </c>
      <c r="D867" s="2">
        <f t="shared" si="114"/>
        <v>0.97441194047836133</v>
      </c>
      <c r="F867">
        <f t="shared" si="116"/>
        <v>1.9499999999999988</v>
      </c>
      <c r="G867">
        <v>1.866707487792195</v>
      </c>
      <c r="H867">
        <v>8.5160456430360704E-3</v>
      </c>
      <c r="I867">
        <v>5.9594706068816207E-2</v>
      </c>
    </row>
    <row r="868" spans="2:9" x14ac:dyDescent="0.25">
      <c r="B868" s="2">
        <f t="shared" si="115"/>
        <v>1.9999999999999989</v>
      </c>
      <c r="C868" s="2">
        <f t="shared" si="113"/>
        <v>5.3990966513188167E-2</v>
      </c>
      <c r="D868" s="2">
        <f t="shared" si="114"/>
        <v>0.97724986805182068</v>
      </c>
      <c r="F868">
        <f t="shared" si="116"/>
        <v>1.9999999999999989</v>
      </c>
      <c r="G868">
        <v>1.9158313690498838</v>
      </c>
      <c r="H868">
        <v>8.2483878052596049E-3</v>
      </c>
      <c r="I868">
        <v>5.3990966513188167E-2</v>
      </c>
    </row>
    <row r="869" spans="2:9" x14ac:dyDescent="0.25">
      <c r="B869" s="2">
        <f t="shared" si="115"/>
        <v>2.0499999999999989</v>
      </c>
      <c r="C869" s="2">
        <f t="shared" si="113"/>
        <v>4.8792018579182875E-2</v>
      </c>
      <c r="D869" s="2">
        <f t="shared" si="114"/>
        <v>0.97981778459429558</v>
      </c>
      <c r="F869">
        <f t="shared" si="116"/>
        <v>2.0499999999999989</v>
      </c>
      <c r="G869">
        <v>1.9649552503075727</v>
      </c>
      <c r="H869">
        <v>7.9663931036505868E-3</v>
      </c>
      <c r="I869">
        <v>4.8792018579182875E-2</v>
      </c>
    </row>
    <row r="870" spans="2:9" x14ac:dyDescent="0.25">
      <c r="B870" s="2">
        <f t="shared" si="115"/>
        <v>2.0999999999999988</v>
      </c>
      <c r="C870" s="2">
        <f t="shared" si="113"/>
        <v>4.3983595980427309E-2</v>
      </c>
      <c r="D870" s="2">
        <f t="shared" si="114"/>
        <v>0.98213557943718344</v>
      </c>
      <c r="F870">
        <f t="shared" si="116"/>
        <v>2.0999999999999988</v>
      </c>
      <c r="G870">
        <v>2.0140791315652615</v>
      </c>
      <c r="H870">
        <v>7.6728698843614206E-3</v>
      </c>
      <c r="I870">
        <v>4.3983595980427309E-2</v>
      </c>
    </row>
    <row r="871" spans="2:9" x14ac:dyDescent="0.25">
      <c r="B871" s="2">
        <f t="shared" si="115"/>
        <v>2.1499999999999986</v>
      </c>
      <c r="C871" s="2">
        <f t="shared" si="113"/>
        <v>3.9550041589370331E-2</v>
      </c>
      <c r="D871" s="2">
        <f t="shared" si="114"/>
        <v>0.98422239260890942</v>
      </c>
      <c r="F871">
        <f t="shared" si="116"/>
        <v>2.1499999999999986</v>
      </c>
      <c r="G871">
        <v>2.0632030128229522</v>
      </c>
      <c r="H871">
        <v>7.3706889845809812E-3</v>
      </c>
      <c r="I871">
        <v>3.9550041589370331E-2</v>
      </c>
    </row>
    <row r="872" spans="2:9" x14ac:dyDescent="0.25">
      <c r="B872" s="2">
        <f t="shared" si="115"/>
        <v>2.1999999999999984</v>
      </c>
      <c r="C872" s="2">
        <f t="shared" si="113"/>
        <v>3.547459284623157E-2</v>
      </c>
      <c r="D872" s="2">
        <f t="shared" si="114"/>
        <v>0.9860965524865013</v>
      </c>
      <c r="F872">
        <f t="shared" si="116"/>
        <v>2.1999999999999984</v>
      </c>
      <c r="G872">
        <v>2.112326894080641</v>
      </c>
      <c r="H872">
        <v>7.0627537828474333E-3</v>
      </c>
      <c r="I872">
        <v>3.547459284623157E-2</v>
      </c>
    </row>
    <row r="873" spans="2:9" x14ac:dyDescent="0.25">
      <c r="B873" s="2">
        <f t="shared" si="115"/>
        <v>2.2499999999999982</v>
      </c>
      <c r="C873" s="2">
        <f t="shared" si="113"/>
        <v>3.173965183566755E-2</v>
      </c>
      <c r="D873" s="2">
        <f t="shared" si="114"/>
        <v>0.98777552734495522</v>
      </c>
      <c r="F873">
        <f t="shared" si="116"/>
        <v>2.2499999999999982</v>
      </c>
      <c r="G873">
        <v>2.1614507753383299</v>
      </c>
      <c r="H873">
        <v>6.7519705175642696E-3</v>
      </c>
      <c r="I873">
        <v>3.173965183566755E-2</v>
      </c>
    </row>
    <row r="874" spans="2:9" x14ac:dyDescent="0.25">
      <c r="B874" s="2">
        <f t="shared" si="115"/>
        <v>2.299999999999998</v>
      </c>
      <c r="C874" s="2">
        <f t="shared" si="113"/>
        <v>2.8327037741601297E-2</v>
      </c>
      <c r="D874" s="2">
        <f t="shared" si="114"/>
        <v>0.98927588997832416</v>
      </c>
      <c r="F874">
        <f t="shared" si="116"/>
        <v>2.299999999999998</v>
      </c>
      <c r="G874">
        <v>2.2105746565960187</v>
      </c>
      <c r="H874">
        <v>6.4412191649612788E-3</v>
      </c>
      <c r="I874">
        <v>2.8327037741601297E-2</v>
      </c>
    </row>
    <row r="875" spans="2:9" x14ac:dyDescent="0.25">
      <c r="B875" s="2">
        <f t="shared" si="115"/>
        <v>2.3499999999999979</v>
      </c>
      <c r="C875" s="2">
        <f t="shared" si="113"/>
        <v>2.5218219915194514E-2</v>
      </c>
      <c r="D875" s="2">
        <f t="shared" si="114"/>
        <v>0.99061329446516133</v>
      </c>
      <c r="F875">
        <f t="shared" si="116"/>
        <v>2.3499999999999979</v>
      </c>
      <c r="G875">
        <v>2.2596985378537093</v>
      </c>
      <c r="H875">
        <v>6.1333251563855601E-3</v>
      </c>
      <c r="I875">
        <v>2.5218219915194514E-2</v>
      </c>
    </row>
    <row r="876" spans="2:9" x14ac:dyDescent="0.25">
      <c r="B876" s="2">
        <f t="shared" si="115"/>
        <v>2.3999999999999977</v>
      </c>
      <c r="C876" s="2">
        <f t="shared" si="113"/>
        <v>2.2394530294843017E-2</v>
      </c>
      <c r="D876" s="2">
        <f t="shared" si="114"/>
        <v>0.99180246407540384</v>
      </c>
      <c r="F876">
        <f t="shared" si="116"/>
        <v>2.3999999999999977</v>
      </c>
      <c r="G876">
        <v>2.3088224191113991</v>
      </c>
      <c r="H876">
        <v>5.8310322008797615E-3</v>
      </c>
      <c r="I876">
        <v>2.2394530294843017E-2</v>
      </c>
    </row>
    <row r="877" spans="2:9" x14ac:dyDescent="0.25">
      <c r="B877" s="2">
        <f t="shared" si="115"/>
        <v>2.4499999999999975</v>
      </c>
      <c r="C877" s="2">
        <f t="shared" si="113"/>
        <v>1.9837354391795441E-2</v>
      </c>
      <c r="D877" s="2">
        <f t="shared" si="114"/>
        <v>0.99285718926472855</v>
      </c>
      <c r="F877">
        <f t="shared" si="116"/>
        <v>2.4499999999999975</v>
      </c>
      <c r="G877">
        <v>2.357946300369087</v>
      </c>
      <c r="H877">
        <v>5.5369764626951624E-3</v>
      </c>
      <c r="I877">
        <v>1.9837354391795441E-2</v>
      </c>
    </row>
    <row r="878" spans="2:9" x14ac:dyDescent="0.25">
      <c r="B878" s="2">
        <f t="shared" si="115"/>
        <v>2.4999999999999973</v>
      </c>
      <c r="C878" s="2">
        <f t="shared" si="113"/>
        <v>1.7528300493568655E-2</v>
      </c>
      <c r="D878" s="2">
        <f t="shared" si="114"/>
        <v>0.99379033467422384</v>
      </c>
      <c r="F878">
        <f t="shared" si="116"/>
        <v>2.4999999999999973</v>
      </c>
      <c r="G878">
        <v>2.4070701816267768</v>
      </c>
      <c r="H878">
        <v>5.2536623249064543E-3</v>
      </c>
      <c r="I878">
        <v>1.7528300493568655E-2</v>
      </c>
    </row>
    <row r="879" spans="2:9" x14ac:dyDescent="0.25">
      <c r="B879" s="2">
        <f t="shared" si="115"/>
        <v>2.5499999999999972</v>
      </c>
      <c r="C879" s="2">
        <f t="shared" si="113"/>
        <v>1.5449347134395285E-2</v>
      </c>
      <c r="D879" s="2">
        <f t="shared" si="114"/>
        <v>0.99461385404593328</v>
      </c>
      <c r="F879">
        <f t="shared" si="116"/>
        <v>2.5499999999999972</v>
      </c>
      <c r="G879">
        <v>2.4561940628844674</v>
      </c>
      <c r="H879">
        <v>4.9834399498704706E-3</v>
      </c>
      <c r="I879">
        <v>1.5449347134395285E-2</v>
      </c>
    </row>
    <row r="880" spans="2:9" x14ac:dyDescent="0.25">
      <c r="B880" s="2">
        <f t="shared" si="115"/>
        <v>2.599999999999997</v>
      </c>
      <c r="C880" s="2">
        <f t="shared" si="113"/>
        <v>1.3582969233685722E-2</v>
      </c>
      <c r="D880" s="2">
        <f t="shared" si="114"/>
        <v>0.99533881197628116</v>
      </c>
      <c r="F880">
        <f t="shared" si="116"/>
        <v>2.599999999999997</v>
      </c>
      <c r="G880">
        <v>2.5053179441421571</v>
      </c>
      <c r="H880">
        <v>4.7284848251455229E-3</v>
      </c>
      <c r="I880">
        <v>1.3582969233685722E-2</v>
      </c>
    </row>
    <row r="881" spans="2:9" x14ac:dyDescent="0.25">
      <c r="B881" s="2">
        <f t="shared" si="115"/>
        <v>2.6499999999999968</v>
      </c>
      <c r="C881" s="2">
        <f t="shared" si="113"/>
        <v>1.191224360760528E-2</v>
      </c>
      <c r="D881" s="2">
        <f t="shared" si="114"/>
        <v>0.99597541145724167</v>
      </c>
      <c r="F881">
        <f t="shared" si="116"/>
        <v>2.6499999999999968</v>
      </c>
      <c r="G881">
        <v>2.5544418253998478</v>
      </c>
      <c r="H881">
        <v>4.4907794599158357E-3</v>
      </c>
      <c r="I881">
        <v>1.191224360760528E-2</v>
      </c>
    </row>
    <row r="882" spans="2:9" x14ac:dyDescent="0.25">
      <c r="B882" s="2">
        <f t="shared" si="115"/>
        <v>2.6999999999999966</v>
      </c>
      <c r="C882" s="2">
        <f t="shared" si="113"/>
        <v>1.0420934814422692E-2</v>
      </c>
      <c r="D882" s="2">
        <f t="shared" si="114"/>
        <v>0.99653302619695927</v>
      </c>
      <c r="F882">
        <f t="shared" si="116"/>
        <v>2.6999999999999966</v>
      </c>
      <c r="G882">
        <v>2.6035657066575375</v>
      </c>
      <c r="H882">
        <v>4.2720973722113181E-3</v>
      </c>
      <c r="I882">
        <v>1.0420934814422692E-2</v>
      </c>
    </row>
    <row r="883" spans="2:9" x14ac:dyDescent="0.25">
      <c r="B883" s="2">
        <f t="shared" si="115"/>
        <v>2.7499999999999964</v>
      </c>
      <c r="C883" s="2">
        <f t="shared" si="113"/>
        <v>9.0935625015911431E-3</v>
      </c>
      <c r="D883" s="2">
        <f t="shared" si="114"/>
        <v>0.99702023676494544</v>
      </c>
      <c r="F883">
        <f t="shared" si="116"/>
        <v>2.7499999999999964</v>
      </c>
      <c r="G883">
        <v>2.6526895879152281</v>
      </c>
      <c r="H883">
        <v>4.0739894815470523E-3</v>
      </c>
      <c r="I883">
        <v>9.0935625015911431E-3</v>
      </c>
    </row>
    <row r="884" spans="2:9" x14ac:dyDescent="0.25">
      <c r="B884" s="2">
        <f t="shared" si="115"/>
        <v>2.7999999999999963</v>
      </c>
      <c r="C884" s="2">
        <f t="shared" si="113"/>
        <v>7.9154515829800449E-3</v>
      </c>
      <c r="D884" s="2">
        <f t="shared" si="114"/>
        <v>0.99744486966957202</v>
      </c>
      <c r="F884">
        <f t="shared" si="116"/>
        <v>2.7999999999999963</v>
      </c>
      <c r="G884">
        <v>2.7018134691729179</v>
      </c>
      <c r="H884">
        <v>3.8977729953040175E-3</v>
      </c>
      <c r="I884">
        <v>7.9154515829800449E-3</v>
      </c>
    </row>
    <row r="885" spans="2:9" x14ac:dyDescent="0.25">
      <c r="B885" s="2">
        <f t="shared" si="115"/>
        <v>2.8499999999999961</v>
      </c>
      <c r="C885" s="2">
        <f t="shared" si="113"/>
        <v>6.872766690614051E-3</v>
      </c>
      <c r="D885" s="2">
        <f t="shared" si="114"/>
        <v>0.99781403854508677</v>
      </c>
      <c r="F885">
        <f t="shared" si="116"/>
        <v>2.8499999999999961</v>
      </c>
      <c r="G885">
        <v>2.7509373504306076</v>
      </c>
      <c r="H885">
        <v>3.7445228505081194E-3</v>
      </c>
      <c r="I885">
        <v>6.872766690614051E-3</v>
      </c>
    </row>
    <row r="886" spans="2:9" x14ac:dyDescent="0.25">
      <c r="B886" s="2">
        <f t="shared" si="115"/>
        <v>2.8999999999999959</v>
      </c>
      <c r="C886" s="2">
        <f t="shared" si="113"/>
        <v>5.9525324197759223E-3</v>
      </c>
      <c r="D886" s="2">
        <f t="shared" si="114"/>
        <v>0.99813418669961596</v>
      </c>
      <c r="F886">
        <f t="shared" si="116"/>
        <v>2.8999999999999959</v>
      </c>
      <c r="G886">
        <v>2.8000612316882991</v>
      </c>
      <c r="H886">
        <v>3.6150657459120801E-3</v>
      </c>
      <c r="I886">
        <v>5.9525324197759223E-3</v>
      </c>
    </row>
    <row r="887" spans="2:9" x14ac:dyDescent="0.25">
      <c r="B887" s="2">
        <f t="shared" si="115"/>
        <v>2.9499999999999957</v>
      </c>
      <c r="C887" s="2">
        <f t="shared" si="113"/>
        <v>5.1426409230540026E-3</v>
      </c>
      <c r="D887" s="2">
        <f t="shared" si="114"/>
        <v>0.99841113035263507</v>
      </c>
      <c r="F887">
        <f t="shared" si="116"/>
        <v>2.9499999999999957</v>
      </c>
      <c r="G887">
        <v>2.849185112945988</v>
      </c>
      <c r="H887">
        <v>3.5099767727132356E-3</v>
      </c>
      <c r="I887">
        <v>5.1426409230540026E-3</v>
      </c>
    </row>
    <row r="888" spans="2:9" x14ac:dyDescent="0.25">
      <c r="B888" s="2">
        <f t="shared" si="115"/>
        <v>2.9999999999999956</v>
      </c>
      <c r="C888" s="2">
        <f t="shared" si="113"/>
        <v>4.4318484119380665E-3</v>
      </c>
      <c r="D888" s="2">
        <f t="shared" si="114"/>
        <v>0.9986501019683699</v>
      </c>
      <c r="F888">
        <f t="shared" si="116"/>
        <v>2.9999999999999956</v>
      </c>
      <c r="G888">
        <v>2.8983089942036795</v>
      </c>
      <c r="H888">
        <v>3.4295786261116547E-3</v>
      </c>
      <c r="I888">
        <v>4.4318484119380665E-3</v>
      </c>
    </row>
    <row r="889" spans="2:9" x14ac:dyDescent="0.25">
      <c r="B889" s="2">
        <f t="shared" si="115"/>
        <v>3.0499999999999954</v>
      </c>
      <c r="C889" s="2">
        <f t="shared" si="113"/>
        <v>3.8097620982218612E-3</v>
      </c>
      <c r="D889" s="2">
        <f t="shared" si="114"/>
        <v>0.99885579316897732</v>
      </c>
      <c r="F889">
        <f t="shared" si="116"/>
        <v>3.0499999999999954</v>
      </c>
      <c r="G889">
        <v>2.9474328754613692</v>
      </c>
      <c r="H889">
        <v>3.3739433544795979E-3</v>
      </c>
      <c r="I889">
        <v>3.8097620982218612E-3</v>
      </c>
    </row>
    <row r="890" spans="2:9" x14ac:dyDescent="0.25">
      <c r="B890" s="2">
        <f t="shared" si="115"/>
        <v>3.0999999999999952</v>
      </c>
      <c r="C890" s="2">
        <f t="shared" si="113"/>
        <v>3.2668190561999681E-3</v>
      </c>
      <c r="D890" s="2">
        <f t="shared" si="114"/>
        <v>0.99903239678678157</v>
      </c>
      <c r="F890">
        <f t="shared" si="116"/>
        <v>3.0999999999999952</v>
      </c>
      <c r="G890">
        <v>2.9965567567190581</v>
      </c>
      <c r="H890">
        <v>3.3428965784153665E-3</v>
      </c>
      <c r="I890">
        <v>3.2668190561999681E-3</v>
      </c>
    </row>
  </sheetData>
  <mergeCells count="5">
    <mergeCell ref="AQ52:AY52"/>
    <mergeCell ref="AA473:AA483"/>
    <mergeCell ref="AC471:AL471"/>
    <mergeCell ref="AI363:AO363"/>
    <mergeCell ref="AG365:AG377"/>
  </mergeCell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9"/>
  <sheetViews>
    <sheetView workbookViewId="0">
      <selection activeCell="S2" sqref="S2:V36"/>
    </sheetView>
  </sheetViews>
  <sheetFormatPr defaultRowHeight="12.75" x14ac:dyDescent="0.25"/>
  <cols>
    <col min="1" max="1" width="10.140625" bestFit="1" customWidth="1"/>
    <col min="2" max="2" width="11.42578125" bestFit="1" customWidth="1"/>
  </cols>
  <sheetData>
    <row r="1" spans="1:26" x14ac:dyDescent="0.25">
      <c r="A1" t="s">
        <v>287</v>
      </c>
    </row>
    <row r="2" spans="1:26" x14ac:dyDescent="0.25">
      <c r="A2" t="s">
        <v>289</v>
      </c>
      <c r="B2" s="489"/>
      <c r="C2" s="489"/>
      <c r="D2" s="489"/>
      <c r="E2" s="489"/>
      <c r="S2" s="489"/>
      <c r="T2" s="489"/>
      <c r="U2" s="489"/>
      <c r="V2" s="489"/>
      <c r="X2" s="489"/>
      <c r="Y2" s="489"/>
      <c r="Z2" s="489"/>
    </row>
    <row r="3" spans="1:26" x14ac:dyDescent="0.25">
      <c r="A3" t="s">
        <v>288</v>
      </c>
      <c r="B3" s="99" t="s">
        <v>290</v>
      </c>
      <c r="C3" s="99">
        <v>0.5</v>
      </c>
      <c r="D3" s="99">
        <v>0.3</v>
      </c>
      <c r="E3" s="99">
        <v>0.1</v>
      </c>
      <c r="S3" s="99" t="s">
        <v>290</v>
      </c>
      <c r="T3" s="99">
        <v>0.5</v>
      </c>
      <c r="U3" s="99">
        <v>0.3</v>
      </c>
      <c r="V3" s="99">
        <v>0.1</v>
      </c>
      <c r="X3" s="99">
        <v>0.5</v>
      </c>
      <c r="Y3" s="99">
        <v>0.3</v>
      </c>
      <c r="Z3" s="99">
        <v>0.1</v>
      </c>
    </row>
    <row r="4" spans="1:26" x14ac:dyDescent="0.25">
      <c r="A4" s="407">
        <v>42360</v>
      </c>
      <c r="B4" s="411">
        <v>116.95</v>
      </c>
      <c r="C4" s="408">
        <f>B4</f>
        <v>116.95</v>
      </c>
      <c r="D4" s="412">
        <f>B4</f>
        <v>116.95</v>
      </c>
      <c r="E4" s="408">
        <f>C4</f>
        <v>116.95</v>
      </c>
      <c r="S4" s="411">
        <v>116.95</v>
      </c>
      <c r="T4" s="408">
        <f>S4</f>
        <v>116.95</v>
      </c>
      <c r="U4" s="412">
        <f>S4</f>
        <v>116.95</v>
      </c>
      <c r="V4" s="408">
        <f>T4</f>
        <v>116.95</v>
      </c>
      <c r="X4" s="408"/>
      <c r="Y4" s="412"/>
      <c r="Z4" s="408"/>
    </row>
    <row r="5" spans="1:26" x14ac:dyDescent="0.25">
      <c r="A5" s="407"/>
      <c r="B5" s="413">
        <v>116.64</v>
      </c>
      <c r="C5" s="409">
        <f t="shared" ref="C5:C36" si="0">B5*C$3+(1-C$3)*C4</f>
        <v>116.795</v>
      </c>
      <c r="D5" s="414">
        <f>B5*D$3+(1-D$3)*D4</f>
        <v>116.857</v>
      </c>
      <c r="E5" s="409">
        <f>B5*E$3+(1-E$3)*E4</f>
        <v>116.91900000000001</v>
      </c>
      <c r="S5" s="413">
        <v>116.64</v>
      </c>
      <c r="T5" s="409">
        <f>S5</f>
        <v>116.64</v>
      </c>
      <c r="U5" s="409">
        <f>T5</f>
        <v>116.64</v>
      </c>
      <c r="V5" s="409">
        <f>U5</f>
        <v>116.64</v>
      </c>
      <c r="X5" s="409">
        <f>S5-S4</f>
        <v>-0.31000000000000227</v>
      </c>
      <c r="Y5" s="414">
        <f>S5-S4</f>
        <v>-0.31000000000000227</v>
      </c>
      <c r="Z5" s="409">
        <f>S5-S4</f>
        <v>-0.31000000000000227</v>
      </c>
    </row>
    <row r="6" spans="1:26" x14ac:dyDescent="0.25">
      <c r="A6" s="407"/>
      <c r="B6" s="413">
        <v>115.97</v>
      </c>
      <c r="C6" s="409">
        <f t="shared" si="0"/>
        <v>116.38249999999999</v>
      </c>
      <c r="D6" s="414">
        <f t="shared" ref="D6:D35" si="1">B6*D$3+(1-D$3)*D5</f>
        <v>116.59089999999999</v>
      </c>
      <c r="E6" s="409">
        <f t="shared" ref="E6:E36" si="2">B6*E$3+(1-E$3)*E5</f>
        <v>116.82410000000002</v>
      </c>
      <c r="S6" s="413">
        <v>115.97</v>
      </c>
      <c r="T6" s="409">
        <f t="shared" ref="T6:T36" si="3">S6*T$3+(1-T$3)*(T5+X5)</f>
        <v>116.15</v>
      </c>
      <c r="U6" s="409">
        <f t="shared" ref="U6:U36" si="4">T6*U$3+(1-U$3)*(U5+Y5)</f>
        <v>116.276</v>
      </c>
      <c r="V6" s="409">
        <f t="shared" ref="V6:V36" si="5">U6*V$3+(1-V$3)*(V5+Z5)</f>
        <v>116.3246</v>
      </c>
      <c r="X6" s="409">
        <f t="shared" ref="X6:X36" si="6">(S6-S5)*X$3+(1-X$3)*X5</f>
        <v>-0.49000000000000199</v>
      </c>
      <c r="Y6" s="409">
        <f t="shared" ref="Y6:Y36" si="7">(T6-T5)*Y$3+(1-Y$3)*Y5</f>
        <v>-0.36400000000000005</v>
      </c>
      <c r="Z6" s="409">
        <f t="shared" ref="Z6:Z36" si="8">(U6-U5)*Z$3+(1-Z$3)*Z5</f>
        <v>-0.31540000000000251</v>
      </c>
    </row>
    <row r="7" spans="1:26" x14ac:dyDescent="0.25">
      <c r="A7" s="407"/>
      <c r="B7" s="413">
        <v>115.82</v>
      </c>
      <c r="C7" s="409">
        <f t="shared" si="0"/>
        <v>116.10124999999999</v>
      </c>
      <c r="D7" s="414">
        <f t="shared" si="1"/>
        <v>116.35962999999998</v>
      </c>
      <c r="E7" s="409">
        <f t="shared" si="2"/>
        <v>116.72369</v>
      </c>
      <c r="S7" s="413">
        <v>115.82</v>
      </c>
      <c r="T7" s="409">
        <f t="shared" si="3"/>
        <v>115.74</v>
      </c>
      <c r="U7" s="409">
        <f t="shared" si="4"/>
        <v>115.86039999999998</v>
      </c>
      <c r="V7" s="409">
        <f t="shared" si="5"/>
        <v>115.99432</v>
      </c>
      <c r="X7" s="409">
        <f t="shared" si="6"/>
        <v>-0.32000000000000384</v>
      </c>
      <c r="Y7" s="409">
        <f t="shared" si="7"/>
        <v>-0.37780000000000324</v>
      </c>
      <c r="Z7" s="409">
        <f t="shared" si="8"/>
        <v>-0.32542000000000348</v>
      </c>
    </row>
    <row r="8" spans="1:26" x14ac:dyDescent="0.25">
      <c r="A8" s="407"/>
      <c r="B8" s="413">
        <v>115.19</v>
      </c>
      <c r="C8" s="409">
        <f t="shared" si="0"/>
        <v>115.645625</v>
      </c>
      <c r="D8" s="414">
        <f t="shared" si="1"/>
        <v>116.00874099999999</v>
      </c>
      <c r="E8" s="409">
        <f t="shared" si="2"/>
        <v>116.57032100000001</v>
      </c>
      <c r="S8" s="413">
        <v>115.19</v>
      </c>
      <c r="T8" s="409">
        <f t="shared" si="3"/>
        <v>115.30499999999999</v>
      </c>
      <c r="U8" s="409">
        <f t="shared" si="4"/>
        <v>115.42931999999998</v>
      </c>
      <c r="V8" s="409">
        <f t="shared" si="5"/>
        <v>115.64494199999999</v>
      </c>
      <c r="X8" s="409">
        <f t="shared" si="6"/>
        <v>-0.47499999999999964</v>
      </c>
      <c r="Y8" s="409">
        <f t="shared" si="7"/>
        <v>-0.39496000000000292</v>
      </c>
      <c r="Z8" s="409">
        <f t="shared" si="8"/>
        <v>-0.335986000000004</v>
      </c>
    </row>
    <row r="9" spans="1:26" x14ac:dyDescent="0.25">
      <c r="A9" s="407"/>
      <c r="B9" s="413">
        <v>115.19</v>
      </c>
      <c r="C9" s="409">
        <f t="shared" si="0"/>
        <v>115.4178125</v>
      </c>
      <c r="D9" s="414">
        <f t="shared" si="1"/>
        <v>115.76311869999998</v>
      </c>
      <c r="E9" s="409">
        <f t="shared" si="2"/>
        <v>116.43228890000002</v>
      </c>
      <c r="S9" s="413">
        <v>115.19</v>
      </c>
      <c r="T9" s="409">
        <f t="shared" si="3"/>
        <v>115.00999999999999</v>
      </c>
      <c r="U9" s="409">
        <f t="shared" si="4"/>
        <v>115.02705199999997</v>
      </c>
      <c r="V9" s="409">
        <f t="shared" si="5"/>
        <v>115.28076559999998</v>
      </c>
      <c r="X9" s="409">
        <f t="shared" si="6"/>
        <v>-0.23749999999999982</v>
      </c>
      <c r="Y9" s="409">
        <f t="shared" si="7"/>
        <v>-0.36497200000000257</v>
      </c>
      <c r="Z9" s="409">
        <f t="shared" si="8"/>
        <v>-0.34261420000000431</v>
      </c>
    </row>
    <row r="10" spans="1:26" x14ac:dyDescent="0.25">
      <c r="A10" s="407"/>
      <c r="B10" s="413">
        <v>113.3</v>
      </c>
      <c r="C10" s="409">
        <f t="shared" si="0"/>
        <v>114.35890624999999</v>
      </c>
      <c r="D10" s="414">
        <f t="shared" si="1"/>
        <v>115.02418308999998</v>
      </c>
      <c r="E10" s="409">
        <f t="shared" si="2"/>
        <v>116.11906001000001</v>
      </c>
      <c r="S10" s="413">
        <v>113.3</v>
      </c>
      <c r="T10" s="409">
        <f t="shared" si="3"/>
        <v>114.03625</v>
      </c>
      <c r="U10" s="409">
        <f t="shared" si="4"/>
        <v>114.47433099999995</v>
      </c>
      <c r="V10" s="409">
        <f t="shared" si="5"/>
        <v>114.89176935999998</v>
      </c>
      <c r="X10" s="409">
        <f t="shared" si="6"/>
        <v>-1.0637500000000002</v>
      </c>
      <c r="Y10" s="409">
        <f t="shared" si="7"/>
        <v>-0.54760540000000035</v>
      </c>
      <c r="Z10" s="409">
        <f t="shared" si="8"/>
        <v>-0.36362488000000581</v>
      </c>
    </row>
    <row r="11" spans="1:26" x14ac:dyDescent="0.25">
      <c r="A11" s="407"/>
      <c r="B11" s="413">
        <v>113.95</v>
      </c>
      <c r="C11" s="409">
        <f t="shared" si="0"/>
        <v>114.154453125</v>
      </c>
      <c r="D11" s="414">
        <f t="shared" si="1"/>
        <v>114.70192816299998</v>
      </c>
      <c r="E11" s="409">
        <f t="shared" si="2"/>
        <v>115.90215400900001</v>
      </c>
      <c r="S11" s="413">
        <v>113.95</v>
      </c>
      <c r="T11" s="409">
        <f t="shared" si="3"/>
        <v>113.46125000000001</v>
      </c>
      <c r="U11" s="409">
        <f t="shared" si="4"/>
        <v>113.78708291999996</v>
      </c>
      <c r="V11" s="409">
        <f t="shared" si="5"/>
        <v>114.45403832399998</v>
      </c>
      <c r="X11" s="409">
        <f t="shared" si="6"/>
        <v>-0.20687499999999726</v>
      </c>
      <c r="Y11" s="409">
        <f t="shared" si="7"/>
        <v>-0.55582377999999677</v>
      </c>
      <c r="Z11" s="409">
        <f t="shared" si="8"/>
        <v>-0.39598720000000415</v>
      </c>
    </row>
    <row r="12" spans="1:26" x14ac:dyDescent="0.25">
      <c r="A12" s="407"/>
      <c r="B12" s="413">
        <v>112.12</v>
      </c>
      <c r="C12" s="409">
        <f t="shared" si="0"/>
        <v>113.1372265625</v>
      </c>
      <c r="D12" s="414">
        <f t="shared" si="1"/>
        <v>113.92734971409999</v>
      </c>
      <c r="E12" s="409">
        <f t="shared" si="2"/>
        <v>115.52393860810002</v>
      </c>
      <c r="S12" s="413">
        <v>112.12</v>
      </c>
      <c r="T12" s="409">
        <f t="shared" si="3"/>
        <v>112.68718750000001</v>
      </c>
      <c r="U12" s="409">
        <f t="shared" si="4"/>
        <v>113.06803764799997</v>
      </c>
      <c r="V12" s="409">
        <f t="shared" si="5"/>
        <v>113.95904977639998</v>
      </c>
      <c r="X12" s="409">
        <f t="shared" si="6"/>
        <v>-1.0184374999999979</v>
      </c>
      <c r="Y12" s="409">
        <f t="shared" si="7"/>
        <v>-0.6212953959999975</v>
      </c>
      <c r="Z12" s="409">
        <f t="shared" si="8"/>
        <v>-0.42829300720000257</v>
      </c>
    </row>
    <row r="13" spans="1:26" x14ac:dyDescent="0.25">
      <c r="A13" s="407"/>
      <c r="B13" s="413">
        <v>111.03</v>
      </c>
      <c r="C13" s="409">
        <f t="shared" si="0"/>
        <v>112.08361328125</v>
      </c>
      <c r="D13" s="414">
        <f t="shared" si="1"/>
        <v>113.05814479986998</v>
      </c>
      <c r="E13" s="409">
        <f t="shared" si="2"/>
        <v>115.07454474729002</v>
      </c>
      <c r="S13" s="413">
        <v>111.03</v>
      </c>
      <c r="T13" s="409">
        <f t="shared" si="3"/>
        <v>111.34937500000001</v>
      </c>
      <c r="U13" s="409">
        <f t="shared" si="4"/>
        <v>112.11753207639998</v>
      </c>
      <c r="V13" s="409">
        <f t="shared" si="5"/>
        <v>113.38943429991998</v>
      </c>
      <c r="X13" s="409">
        <f t="shared" si="6"/>
        <v>-1.0542187500000006</v>
      </c>
      <c r="Y13" s="409">
        <f t="shared" si="7"/>
        <v>-0.83625052719999771</v>
      </c>
      <c r="Z13" s="409">
        <f t="shared" si="8"/>
        <v>-0.48051426364000138</v>
      </c>
    </row>
    <row r="14" spans="1:26" x14ac:dyDescent="0.25">
      <c r="A14" s="407"/>
      <c r="B14" s="413">
        <v>109.95</v>
      </c>
      <c r="C14" s="409">
        <f t="shared" si="0"/>
        <v>111.01680664062499</v>
      </c>
      <c r="D14" s="414">
        <f t="shared" si="1"/>
        <v>112.12570135990897</v>
      </c>
      <c r="E14" s="409">
        <f t="shared" si="2"/>
        <v>114.56209027256102</v>
      </c>
      <c r="S14" s="413">
        <v>109.95</v>
      </c>
      <c r="T14" s="409">
        <f t="shared" si="3"/>
        <v>110.122578125</v>
      </c>
      <c r="U14" s="409">
        <f t="shared" si="4"/>
        <v>110.93367052193999</v>
      </c>
      <c r="V14" s="409">
        <f t="shared" si="5"/>
        <v>112.71139508484598</v>
      </c>
      <c r="X14" s="409">
        <f t="shared" si="6"/>
        <v>-1.0671093749999994</v>
      </c>
      <c r="Y14" s="409">
        <f t="shared" si="7"/>
        <v>-0.95341443153999983</v>
      </c>
      <c r="Z14" s="409">
        <f t="shared" si="8"/>
        <v>-0.55084899272200072</v>
      </c>
    </row>
    <row r="15" spans="1:26" x14ac:dyDescent="0.25">
      <c r="A15" s="407"/>
      <c r="B15" s="413">
        <v>109.11</v>
      </c>
      <c r="C15" s="409">
        <f t="shared" si="0"/>
        <v>110.06340332031249</v>
      </c>
      <c r="D15" s="414">
        <f t="shared" si="1"/>
        <v>111.22099095193627</v>
      </c>
      <c r="E15" s="409">
        <f t="shared" si="2"/>
        <v>114.01688124530493</v>
      </c>
      <c r="S15" s="413">
        <v>109.11</v>
      </c>
      <c r="T15" s="409">
        <f t="shared" si="3"/>
        <v>109.082734375</v>
      </c>
      <c r="U15" s="409">
        <f t="shared" si="4"/>
        <v>109.71099957577999</v>
      </c>
      <c r="V15" s="409">
        <f t="shared" si="5"/>
        <v>111.91559144048959</v>
      </c>
      <c r="X15" s="409">
        <f t="shared" si="6"/>
        <v>-0.95355468750000139</v>
      </c>
      <c r="Y15" s="409">
        <f t="shared" si="7"/>
        <v>-0.9793432270780007</v>
      </c>
      <c r="Z15" s="409">
        <f t="shared" si="8"/>
        <v>-0.61803118806580004</v>
      </c>
    </row>
    <row r="16" spans="1:26" x14ac:dyDescent="0.25">
      <c r="A16" s="407"/>
      <c r="B16" s="413">
        <v>109.9</v>
      </c>
      <c r="C16" s="409">
        <f t="shared" si="0"/>
        <v>109.98170166015625</v>
      </c>
      <c r="D16" s="414">
        <f t="shared" si="1"/>
        <v>110.82469366635539</v>
      </c>
      <c r="E16" s="409">
        <f t="shared" si="2"/>
        <v>113.60519312077443</v>
      </c>
      <c r="S16" s="413">
        <v>109.9</v>
      </c>
      <c r="T16" s="409">
        <f t="shared" si="3"/>
        <v>109.01458984375</v>
      </c>
      <c r="U16" s="409">
        <f t="shared" si="4"/>
        <v>108.8165363972164</v>
      </c>
      <c r="V16" s="409">
        <f t="shared" si="5"/>
        <v>111.04945786690305</v>
      </c>
      <c r="X16" s="409">
        <f t="shared" si="6"/>
        <v>-8.1777343749997566E-2</v>
      </c>
      <c r="Y16" s="409">
        <f t="shared" si="7"/>
        <v>-0.7059836183296001</v>
      </c>
      <c r="Z16" s="409">
        <f t="shared" si="8"/>
        <v>-0.6456743871155799</v>
      </c>
    </row>
    <row r="17" spans="1:26" x14ac:dyDescent="0.25">
      <c r="A17" s="407"/>
      <c r="B17" s="413">
        <v>109.49</v>
      </c>
      <c r="C17" s="409">
        <f t="shared" si="0"/>
        <v>109.73585083007812</v>
      </c>
      <c r="D17" s="414">
        <f t="shared" si="1"/>
        <v>110.42428556644876</v>
      </c>
      <c r="E17" s="409">
        <f t="shared" si="2"/>
        <v>113.19367380869699</v>
      </c>
      <c r="S17" s="413">
        <v>109.49</v>
      </c>
      <c r="T17" s="409">
        <f t="shared" si="3"/>
        <v>109.21140625000001</v>
      </c>
      <c r="U17" s="409">
        <f t="shared" si="4"/>
        <v>108.44080882022075</v>
      </c>
      <c r="V17" s="409">
        <f t="shared" si="5"/>
        <v>110.20748601383082</v>
      </c>
      <c r="X17" s="409">
        <f t="shared" si="6"/>
        <v>-0.24588867187500418</v>
      </c>
      <c r="Y17" s="409">
        <f t="shared" si="7"/>
        <v>-0.43514361095571769</v>
      </c>
      <c r="Z17" s="409">
        <f t="shared" si="8"/>
        <v>-0.61867970610358625</v>
      </c>
    </row>
    <row r="18" spans="1:26" x14ac:dyDescent="0.25">
      <c r="A18" s="407"/>
      <c r="B18" s="413">
        <v>110.52</v>
      </c>
      <c r="C18" s="409">
        <f t="shared" si="0"/>
        <v>110.12792541503906</v>
      </c>
      <c r="D18" s="414">
        <f t="shared" si="1"/>
        <v>110.45299989651411</v>
      </c>
      <c r="E18" s="409">
        <f t="shared" si="2"/>
        <v>112.92630642782729</v>
      </c>
      <c r="S18" s="413">
        <v>110.52</v>
      </c>
      <c r="T18" s="409">
        <f t="shared" si="3"/>
        <v>109.74275878906249</v>
      </c>
      <c r="U18" s="409">
        <f t="shared" si="4"/>
        <v>108.52679328320426</v>
      </c>
      <c r="V18" s="409">
        <f t="shared" si="5"/>
        <v>109.48260500527493</v>
      </c>
      <c r="X18" s="409">
        <f t="shared" si="6"/>
        <v>0.39205566406249848</v>
      </c>
      <c r="Y18" s="409">
        <f t="shared" si="7"/>
        <v>-0.14519476595025782</v>
      </c>
      <c r="Z18" s="409">
        <f t="shared" si="8"/>
        <v>-0.54821328919487722</v>
      </c>
    </row>
    <row r="19" spans="1:26" x14ac:dyDescent="0.25">
      <c r="A19" s="407"/>
      <c r="B19" s="413">
        <v>111.46</v>
      </c>
      <c r="C19" s="409">
        <f t="shared" si="0"/>
        <v>110.79396270751953</v>
      </c>
      <c r="D19" s="414">
        <f t="shared" si="1"/>
        <v>110.75509992755988</v>
      </c>
      <c r="E19" s="409">
        <f t="shared" si="2"/>
        <v>112.77967578504456</v>
      </c>
      <c r="S19" s="413">
        <v>111.46</v>
      </c>
      <c r="T19" s="409">
        <f t="shared" si="3"/>
        <v>110.79740722656248</v>
      </c>
      <c r="U19" s="409">
        <f t="shared" si="4"/>
        <v>109.10634113004653</v>
      </c>
      <c r="V19" s="409">
        <f t="shared" si="5"/>
        <v>108.9515866574767</v>
      </c>
      <c r="X19" s="409">
        <f t="shared" si="6"/>
        <v>0.66602783203124805</v>
      </c>
      <c r="Y19" s="409">
        <f t="shared" si="7"/>
        <v>0.21475819508481714</v>
      </c>
      <c r="Z19" s="409">
        <f t="shared" si="8"/>
        <v>-0.43543717559116207</v>
      </c>
    </row>
    <row r="20" spans="1:26" x14ac:dyDescent="0.25">
      <c r="A20" s="407"/>
      <c r="B20" s="413">
        <v>111.57</v>
      </c>
      <c r="C20" s="409">
        <f t="shared" si="0"/>
        <v>111.18198135375977</v>
      </c>
      <c r="D20" s="414">
        <f t="shared" si="1"/>
        <v>110.9995699492919</v>
      </c>
      <c r="E20" s="409">
        <f t="shared" si="2"/>
        <v>112.6587082065401</v>
      </c>
      <c r="S20" s="413">
        <v>111.57</v>
      </c>
      <c r="T20" s="409">
        <f t="shared" si="3"/>
        <v>111.51671752929687</v>
      </c>
      <c r="U20" s="409">
        <f t="shared" si="4"/>
        <v>109.97978478638099</v>
      </c>
      <c r="V20" s="409">
        <f t="shared" si="5"/>
        <v>108.66251301233508</v>
      </c>
      <c r="X20" s="409">
        <f t="shared" si="6"/>
        <v>0.38801391601562374</v>
      </c>
      <c r="Y20" s="409">
        <f t="shared" si="7"/>
        <v>0.36612382737968752</v>
      </c>
      <c r="Z20" s="409">
        <f t="shared" si="8"/>
        <v>-0.30454909239860001</v>
      </c>
    </row>
    <row r="21" spans="1:26" x14ac:dyDescent="0.25">
      <c r="A21" s="407"/>
      <c r="B21" s="413">
        <v>111.79</v>
      </c>
      <c r="C21" s="409">
        <f t="shared" si="0"/>
        <v>111.48599067687988</v>
      </c>
      <c r="D21" s="414">
        <f t="shared" si="1"/>
        <v>111.23669896450431</v>
      </c>
      <c r="E21" s="409">
        <f t="shared" si="2"/>
        <v>112.5718373858861</v>
      </c>
      <c r="S21" s="413">
        <v>111.79</v>
      </c>
      <c r="T21" s="409">
        <f t="shared" si="3"/>
        <v>111.84736572265625</v>
      </c>
      <c r="U21" s="409">
        <f t="shared" si="4"/>
        <v>110.79634574642934</v>
      </c>
      <c r="V21" s="409">
        <f t="shared" si="5"/>
        <v>108.60180210258578</v>
      </c>
      <c r="X21" s="409">
        <f t="shared" si="6"/>
        <v>0.30400695800781841</v>
      </c>
      <c r="Y21" s="409">
        <f t="shared" si="7"/>
        <v>0.35548113717359525</v>
      </c>
      <c r="Z21" s="409">
        <f t="shared" si="8"/>
        <v>-0.19243808715390509</v>
      </c>
    </row>
    <row r="22" spans="1:26" x14ac:dyDescent="0.25">
      <c r="A22" s="407"/>
      <c r="B22" s="413">
        <v>111.23</v>
      </c>
      <c r="C22" s="409">
        <f t="shared" si="0"/>
        <v>111.35799533843993</v>
      </c>
      <c r="D22" s="414">
        <f t="shared" si="1"/>
        <v>111.23468927515302</v>
      </c>
      <c r="E22" s="409">
        <f t="shared" si="2"/>
        <v>112.43765364729749</v>
      </c>
      <c r="S22" s="413">
        <v>111.23</v>
      </c>
      <c r="T22" s="409">
        <f t="shared" si="3"/>
        <v>111.69068634033204</v>
      </c>
      <c r="U22" s="409">
        <f t="shared" si="4"/>
        <v>111.31348472062166</v>
      </c>
      <c r="V22" s="409">
        <f t="shared" si="5"/>
        <v>108.69977608595086</v>
      </c>
      <c r="X22" s="409">
        <f t="shared" si="6"/>
        <v>-0.12799652099609193</v>
      </c>
      <c r="Y22" s="409">
        <f t="shared" si="7"/>
        <v>0.20183298132425256</v>
      </c>
      <c r="Z22" s="409">
        <f t="shared" si="8"/>
        <v>-0.12148038101928252</v>
      </c>
    </row>
    <row r="23" spans="1:26" x14ac:dyDescent="0.25">
      <c r="A23" s="407"/>
      <c r="B23" s="413">
        <v>111.8</v>
      </c>
      <c r="C23" s="409">
        <f t="shared" si="0"/>
        <v>111.57899766921997</v>
      </c>
      <c r="D23" s="414">
        <f t="shared" si="1"/>
        <v>111.40428249260711</v>
      </c>
      <c r="E23" s="409">
        <f t="shared" si="2"/>
        <v>112.37388828256775</v>
      </c>
      <c r="S23" s="413">
        <v>111.8</v>
      </c>
      <c r="T23" s="409">
        <f t="shared" si="3"/>
        <v>111.68134490966797</v>
      </c>
      <c r="U23" s="409">
        <f t="shared" si="4"/>
        <v>111.56512586426253</v>
      </c>
      <c r="V23" s="409">
        <f t="shared" si="5"/>
        <v>108.87697872086468</v>
      </c>
      <c r="X23" s="409">
        <f t="shared" si="6"/>
        <v>0.22100173950195062</v>
      </c>
      <c r="Y23" s="409">
        <f t="shared" si="7"/>
        <v>0.13848065772775717</v>
      </c>
      <c r="Z23" s="409">
        <f t="shared" si="8"/>
        <v>-8.4168228553267527E-2</v>
      </c>
    </row>
    <row r="24" spans="1:26" x14ac:dyDescent="0.25">
      <c r="A24" s="407"/>
      <c r="B24" s="413">
        <v>111.73</v>
      </c>
      <c r="C24" s="409">
        <f t="shared" si="0"/>
        <v>111.65449883461</v>
      </c>
      <c r="D24" s="414">
        <f t="shared" si="1"/>
        <v>111.50199774482496</v>
      </c>
      <c r="E24" s="409">
        <f t="shared" si="2"/>
        <v>112.30949945431098</v>
      </c>
      <c r="S24" s="413">
        <v>111.73</v>
      </c>
      <c r="T24" s="409">
        <f t="shared" si="3"/>
        <v>111.81617332458497</v>
      </c>
      <c r="U24" s="409">
        <f t="shared" si="4"/>
        <v>111.73737656276867</v>
      </c>
      <c r="V24" s="409">
        <f t="shared" si="5"/>
        <v>109.08726709935715</v>
      </c>
      <c r="X24" s="409">
        <f t="shared" si="6"/>
        <v>7.5500869750978722E-2</v>
      </c>
      <c r="Y24" s="409">
        <f t="shared" si="7"/>
        <v>0.13738498488452869</v>
      </c>
      <c r="Z24" s="409">
        <f t="shared" si="8"/>
        <v>-5.8526335847326069E-2</v>
      </c>
    </row>
    <row r="25" spans="1:26" x14ac:dyDescent="0.25">
      <c r="A25" s="407"/>
      <c r="B25" s="413">
        <v>110.06</v>
      </c>
      <c r="C25" s="409">
        <f t="shared" si="0"/>
        <v>110.857249417305</v>
      </c>
      <c r="D25" s="414">
        <f t="shared" si="1"/>
        <v>111.06939842137747</v>
      </c>
      <c r="E25" s="409">
        <f t="shared" si="2"/>
        <v>112.08454950887989</v>
      </c>
      <c r="S25" s="413">
        <v>110.06</v>
      </c>
      <c r="T25" s="409">
        <f t="shared" si="3"/>
        <v>110.97583709716798</v>
      </c>
      <c r="U25" s="409">
        <f t="shared" si="4"/>
        <v>111.60508421250765</v>
      </c>
      <c r="V25" s="409">
        <f t="shared" si="5"/>
        <v>109.2863751084096</v>
      </c>
      <c r="X25" s="409">
        <f t="shared" si="6"/>
        <v>-0.79724956512451151</v>
      </c>
      <c r="Y25" s="409">
        <f t="shared" si="7"/>
        <v>-0.155931378805925</v>
      </c>
      <c r="Z25" s="409">
        <f t="shared" si="8"/>
        <v>-6.5902937288695979E-2</v>
      </c>
    </row>
    <row r="26" spans="1:26" x14ac:dyDescent="0.25">
      <c r="A26" s="407"/>
      <c r="B26" s="413">
        <v>109.95</v>
      </c>
      <c r="C26" s="409">
        <f t="shared" si="0"/>
        <v>110.4036247086525</v>
      </c>
      <c r="D26" s="414">
        <f t="shared" si="1"/>
        <v>110.73357889496423</v>
      </c>
      <c r="E26" s="409">
        <f t="shared" si="2"/>
        <v>111.87109455799191</v>
      </c>
      <c r="S26" s="413">
        <v>109.95</v>
      </c>
      <c r="T26" s="409">
        <f t="shared" si="3"/>
        <v>110.06429376602173</v>
      </c>
      <c r="U26" s="409">
        <f t="shared" si="4"/>
        <v>111.03369511339773</v>
      </c>
      <c r="V26" s="409">
        <f t="shared" si="5"/>
        <v>109.40179446534859</v>
      </c>
      <c r="X26" s="409">
        <f t="shared" si="6"/>
        <v>-0.45362478256225547</v>
      </c>
      <c r="Y26" s="409">
        <f t="shared" si="7"/>
        <v>-0.38261496450802196</v>
      </c>
      <c r="Z26" s="409">
        <f t="shared" si="8"/>
        <v>-0.11645155347081859</v>
      </c>
    </row>
    <row r="27" spans="1:26" x14ac:dyDescent="0.25">
      <c r="A27" s="407"/>
      <c r="B27" s="413">
        <v>109.99</v>
      </c>
      <c r="C27" s="409">
        <f t="shared" si="0"/>
        <v>110.19681235432625</v>
      </c>
      <c r="D27" s="414">
        <f t="shared" si="1"/>
        <v>110.51050522647495</v>
      </c>
      <c r="E27" s="409">
        <f t="shared" si="2"/>
        <v>111.68298510219272</v>
      </c>
      <c r="S27" s="413">
        <v>109.99</v>
      </c>
      <c r="T27" s="409">
        <f t="shared" si="3"/>
        <v>109.80033449172973</v>
      </c>
      <c r="U27" s="409">
        <f t="shared" si="4"/>
        <v>110.39585645174171</v>
      </c>
      <c r="V27" s="409">
        <f t="shared" si="5"/>
        <v>109.39639426586416</v>
      </c>
      <c r="X27" s="409">
        <f t="shared" si="6"/>
        <v>-0.20681239128113171</v>
      </c>
      <c r="Y27" s="409">
        <f t="shared" si="7"/>
        <v>-0.34701825744321713</v>
      </c>
      <c r="Z27" s="409">
        <f t="shared" si="8"/>
        <v>-0.16859026428933865</v>
      </c>
    </row>
    <row r="28" spans="1:26" x14ac:dyDescent="0.25">
      <c r="A28" s="407"/>
      <c r="B28" s="413">
        <v>107.11</v>
      </c>
      <c r="C28" s="409">
        <f t="shared" si="0"/>
        <v>108.65340617716313</v>
      </c>
      <c r="D28" s="414">
        <f t="shared" si="1"/>
        <v>109.49035365853246</v>
      </c>
      <c r="E28" s="409">
        <f t="shared" si="2"/>
        <v>111.22568659197344</v>
      </c>
      <c r="S28" s="413">
        <v>107.11</v>
      </c>
      <c r="T28" s="409">
        <f t="shared" si="3"/>
        <v>108.3517610502243</v>
      </c>
      <c r="U28" s="409">
        <f t="shared" si="4"/>
        <v>109.53971505107623</v>
      </c>
      <c r="V28" s="409">
        <f t="shared" si="5"/>
        <v>109.25899510652496</v>
      </c>
      <c r="X28" s="409">
        <f t="shared" si="6"/>
        <v>-1.5434061956405636</v>
      </c>
      <c r="Y28" s="409">
        <f t="shared" si="7"/>
        <v>-0.67748481266188132</v>
      </c>
      <c r="Z28" s="409">
        <f t="shared" si="8"/>
        <v>-0.23734537792695265</v>
      </c>
    </row>
    <row r="29" spans="1:26" x14ac:dyDescent="0.25">
      <c r="A29" s="407"/>
      <c r="B29" s="413">
        <v>105.71</v>
      </c>
      <c r="C29" s="409">
        <f t="shared" si="0"/>
        <v>107.18170308858157</v>
      </c>
      <c r="D29" s="414">
        <f t="shared" si="1"/>
        <v>108.3562475609727</v>
      </c>
      <c r="E29" s="409">
        <f t="shared" si="2"/>
        <v>110.6741179327761</v>
      </c>
      <c r="S29" s="413">
        <v>105.71</v>
      </c>
      <c r="T29" s="409">
        <f t="shared" si="3"/>
        <v>106.25917742729186</v>
      </c>
      <c r="U29" s="409">
        <f t="shared" si="4"/>
        <v>108.0813143950776</v>
      </c>
      <c r="V29" s="409">
        <f t="shared" si="5"/>
        <v>108.92761619524597</v>
      </c>
      <c r="X29" s="409">
        <f t="shared" si="6"/>
        <v>-1.4717030978202845</v>
      </c>
      <c r="Y29" s="409">
        <f t="shared" si="7"/>
        <v>-1.1020144557430482</v>
      </c>
      <c r="Z29" s="409">
        <f t="shared" si="8"/>
        <v>-0.35945090573412042</v>
      </c>
    </row>
    <row r="30" spans="1:26" x14ac:dyDescent="0.25">
      <c r="A30" s="407"/>
      <c r="B30" s="413">
        <v>108.43</v>
      </c>
      <c r="C30" s="409">
        <f t="shared" si="0"/>
        <v>107.80585154429079</v>
      </c>
      <c r="D30" s="414">
        <f t="shared" si="1"/>
        <v>108.37837329268089</v>
      </c>
      <c r="E30" s="409">
        <f t="shared" si="2"/>
        <v>110.44970613949849</v>
      </c>
      <c r="S30" s="413">
        <v>108.43</v>
      </c>
      <c r="T30" s="409">
        <f t="shared" si="3"/>
        <v>106.6087371647358</v>
      </c>
      <c r="U30" s="409">
        <f t="shared" si="4"/>
        <v>106.86813110695492</v>
      </c>
      <c r="V30" s="409">
        <f t="shared" si="5"/>
        <v>108.39816187125616</v>
      </c>
      <c r="X30" s="409">
        <f t="shared" si="6"/>
        <v>0.62414845108986428</v>
      </c>
      <c r="Y30" s="409">
        <f t="shared" si="7"/>
        <v>-0.66654219778695167</v>
      </c>
      <c r="Z30" s="409">
        <f t="shared" si="8"/>
        <v>-0.4448241439729762</v>
      </c>
    </row>
    <row r="31" spans="1:26" x14ac:dyDescent="0.25">
      <c r="A31" s="407"/>
      <c r="B31" s="413">
        <v>107.79</v>
      </c>
      <c r="C31" s="409">
        <f t="shared" si="0"/>
        <v>107.79792577214539</v>
      </c>
      <c r="D31" s="414">
        <f t="shared" si="1"/>
        <v>108.20186130487662</v>
      </c>
      <c r="E31" s="409">
        <f t="shared" si="2"/>
        <v>110.18373552554864</v>
      </c>
      <c r="S31" s="413">
        <v>107.79</v>
      </c>
      <c r="T31" s="409">
        <f t="shared" si="3"/>
        <v>107.51144280791283</v>
      </c>
      <c r="U31" s="409">
        <f t="shared" si="4"/>
        <v>106.59454507879141</v>
      </c>
      <c r="V31" s="409">
        <f t="shared" si="5"/>
        <v>107.81745846243402</v>
      </c>
      <c r="X31" s="409">
        <f t="shared" si="6"/>
        <v>-7.9257744550681464E-3</v>
      </c>
      <c r="Y31" s="409">
        <f t="shared" si="7"/>
        <v>-0.19576784549775744</v>
      </c>
      <c r="Z31" s="409">
        <f t="shared" si="8"/>
        <v>-0.42770033239202931</v>
      </c>
    </row>
    <row r="32" spans="1:26" x14ac:dyDescent="0.25">
      <c r="A32" s="407"/>
      <c r="B32" s="413">
        <v>110.88</v>
      </c>
      <c r="C32" s="409">
        <f t="shared" si="0"/>
        <v>109.33896288607269</v>
      </c>
      <c r="D32" s="414">
        <f t="shared" si="1"/>
        <v>109.00530291341362</v>
      </c>
      <c r="E32" s="409">
        <f t="shared" si="2"/>
        <v>110.25336197299379</v>
      </c>
      <c r="S32" s="413">
        <v>110.88</v>
      </c>
      <c r="T32" s="409">
        <f t="shared" si="3"/>
        <v>109.19175851672887</v>
      </c>
      <c r="U32" s="409">
        <f t="shared" si="4"/>
        <v>107.23667161832421</v>
      </c>
      <c r="V32" s="409">
        <f t="shared" si="5"/>
        <v>107.3744494788702</v>
      </c>
      <c r="X32" s="409">
        <f t="shared" si="6"/>
        <v>1.5410371127724605</v>
      </c>
      <c r="Y32" s="409">
        <f t="shared" si="7"/>
        <v>0.36705722079638148</v>
      </c>
      <c r="Z32" s="409">
        <f t="shared" si="8"/>
        <v>-0.32071764519954676</v>
      </c>
    </row>
    <row r="33" spans="1:26" x14ac:dyDescent="0.25">
      <c r="A33" s="407"/>
      <c r="B33" s="413">
        <v>111.06</v>
      </c>
      <c r="C33" s="409">
        <f t="shared" si="0"/>
        <v>110.19948144303635</v>
      </c>
      <c r="D33" s="414">
        <f t="shared" si="1"/>
        <v>109.62171203938952</v>
      </c>
      <c r="E33" s="409">
        <f t="shared" si="2"/>
        <v>110.33402577569441</v>
      </c>
      <c r="S33" s="413">
        <v>111.06</v>
      </c>
      <c r="T33" s="409">
        <f t="shared" si="3"/>
        <v>110.89639781475066</v>
      </c>
      <c r="U33" s="409">
        <f t="shared" si="4"/>
        <v>108.59152953180961</v>
      </c>
      <c r="V33" s="409">
        <f t="shared" si="5"/>
        <v>107.20751160348456</v>
      </c>
      <c r="X33" s="409">
        <f t="shared" si="6"/>
        <v>0.86051855638623365</v>
      </c>
      <c r="Y33" s="409">
        <f t="shared" si="7"/>
        <v>0.76833184396400367</v>
      </c>
      <c r="Z33" s="409">
        <f t="shared" si="8"/>
        <v>-0.15316008933105169</v>
      </c>
    </row>
    <row r="34" spans="1:26" x14ac:dyDescent="0.25">
      <c r="A34" s="407"/>
      <c r="B34" s="413">
        <v>110.41</v>
      </c>
      <c r="C34" s="409">
        <f t="shared" si="0"/>
        <v>110.30474072151817</v>
      </c>
      <c r="D34" s="414">
        <f t="shared" si="1"/>
        <v>109.85819842757266</v>
      </c>
      <c r="E34" s="409">
        <f t="shared" si="2"/>
        <v>110.34162319812498</v>
      </c>
      <c r="S34" s="413">
        <v>110.41</v>
      </c>
      <c r="T34" s="409">
        <f t="shared" si="3"/>
        <v>111.08345818556845</v>
      </c>
      <c r="U34" s="409">
        <f t="shared" si="4"/>
        <v>109.87694041871205</v>
      </c>
      <c r="V34" s="409">
        <f t="shared" si="5"/>
        <v>107.33661040460937</v>
      </c>
      <c r="X34" s="409">
        <f t="shared" si="6"/>
        <v>0.10525927819311398</v>
      </c>
      <c r="Y34" s="409">
        <f t="shared" si="7"/>
        <v>0.59395040202013938</v>
      </c>
      <c r="Z34" s="409">
        <f t="shared" si="8"/>
        <v>-9.3029917077024904E-3</v>
      </c>
    </row>
    <row r="35" spans="1:26" x14ac:dyDescent="0.25">
      <c r="A35" s="407"/>
      <c r="B35" s="413">
        <v>108.84</v>
      </c>
      <c r="C35" s="409">
        <f t="shared" si="0"/>
        <v>109.57237036075909</v>
      </c>
      <c r="D35" s="414">
        <f t="shared" si="1"/>
        <v>109.55273889930086</v>
      </c>
      <c r="E35" s="409">
        <f t="shared" si="2"/>
        <v>110.19146087831248</v>
      </c>
      <c r="S35" s="413">
        <v>108.84</v>
      </c>
      <c r="T35" s="409">
        <f t="shared" si="3"/>
        <v>110.01435873188078</v>
      </c>
      <c r="U35" s="409">
        <f t="shared" si="4"/>
        <v>110.33393119407675</v>
      </c>
      <c r="V35" s="409">
        <f t="shared" si="5"/>
        <v>107.62796979101918</v>
      </c>
      <c r="X35" s="409">
        <f t="shared" si="6"/>
        <v>-0.73237036090343954</v>
      </c>
      <c r="Y35" s="409">
        <f t="shared" si="7"/>
        <v>9.5035445307796507E-2</v>
      </c>
      <c r="Z35" s="409">
        <f t="shared" si="8"/>
        <v>3.7326384999537915E-2</v>
      </c>
    </row>
    <row r="36" spans="1:26" x14ac:dyDescent="0.25">
      <c r="A36" s="407"/>
      <c r="B36" s="415">
        <v>109.83</v>
      </c>
      <c r="C36" s="410">
        <f t="shared" si="0"/>
        <v>109.70118518037955</v>
      </c>
      <c r="D36" s="416">
        <f>B36*D$3+(1-D$3)*D35</f>
        <v>109.6359172295106</v>
      </c>
      <c r="E36" s="410">
        <f t="shared" si="2"/>
        <v>110.15531479048124</v>
      </c>
      <c r="S36" s="415">
        <v>109.83</v>
      </c>
      <c r="T36" s="409">
        <f t="shared" si="3"/>
        <v>109.55599418548866</v>
      </c>
      <c r="U36" s="409">
        <f t="shared" si="4"/>
        <v>110.16707490321576</v>
      </c>
      <c r="V36" s="409">
        <f t="shared" si="5"/>
        <v>107.91547404873842</v>
      </c>
      <c r="X36" s="409">
        <f t="shared" si="6"/>
        <v>0.12881481954827767</v>
      </c>
      <c r="Y36" s="409">
        <f t="shared" si="7"/>
        <v>-7.0984552202178058E-2</v>
      </c>
      <c r="Z36" s="409">
        <f t="shared" si="8"/>
        <v>1.6908117413484983E-2</v>
      </c>
    </row>
    <row r="37" spans="1:26" x14ac:dyDescent="0.25">
      <c r="A37" s="407"/>
      <c r="B37" s="1"/>
      <c r="C37" s="1"/>
      <c r="D37" s="1"/>
      <c r="E37" s="1"/>
    </row>
    <row r="38" spans="1:26" x14ac:dyDescent="0.25">
      <c r="A38" s="407"/>
      <c r="B38" s="1"/>
      <c r="C38" s="1"/>
      <c r="D38" s="1"/>
      <c r="E38" s="1"/>
    </row>
    <row r="39" spans="1:26" x14ac:dyDescent="0.25">
      <c r="A39" s="407"/>
      <c r="B39" s="1"/>
      <c r="C39" s="1"/>
      <c r="D39" s="1"/>
      <c r="E39" s="1"/>
    </row>
    <row r="40" spans="1:26" x14ac:dyDescent="0.25">
      <c r="A40" s="407"/>
      <c r="B40" s="1"/>
      <c r="C40" s="1"/>
      <c r="D40" s="1"/>
      <c r="E40" s="1"/>
    </row>
    <row r="41" spans="1:26" x14ac:dyDescent="0.25">
      <c r="A41" s="407"/>
      <c r="B41" s="1"/>
      <c r="C41" s="1"/>
      <c r="D41" s="1"/>
      <c r="E41" s="1"/>
    </row>
    <row r="46" spans="1:26" x14ac:dyDescent="0.25">
      <c r="B46" s="45">
        <v>42724</v>
      </c>
      <c r="C46" s="45">
        <v>116.74</v>
      </c>
      <c r="D46" s="45">
        <v>117.5</v>
      </c>
      <c r="E46" s="45">
        <v>116.68</v>
      </c>
      <c r="F46" s="45">
        <v>116.95</v>
      </c>
      <c r="G46" s="45"/>
      <c r="H46" s="45"/>
    </row>
    <row r="47" spans="1:26" x14ac:dyDescent="0.25">
      <c r="B47" s="45">
        <v>42723</v>
      </c>
      <c r="C47" s="45">
        <v>115.8</v>
      </c>
      <c r="D47" s="45">
        <v>117.38</v>
      </c>
      <c r="E47" s="45">
        <v>115.75</v>
      </c>
      <c r="F47" s="45">
        <v>116.64</v>
      </c>
      <c r="G47" s="45"/>
      <c r="H47" s="45"/>
    </row>
    <row r="48" spans="1:26" x14ac:dyDescent="0.25">
      <c r="B48" s="45">
        <v>42720</v>
      </c>
      <c r="C48" s="45">
        <v>116.47</v>
      </c>
      <c r="D48" s="45">
        <v>116.5</v>
      </c>
      <c r="E48" s="45">
        <v>115.65</v>
      </c>
      <c r="F48" s="45">
        <v>115.97</v>
      </c>
      <c r="G48" s="45"/>
      <c r="H48" s="45"/>
    </row>
    <row r="49" spans="2:8" x14ac:dyDescent="0.25">
      <c r="B49" s="45">
        <v>42719</v>
      </c>
      <c r="C49" s="45">
        <v>115.38</v>
      </c>
      <c r="D49" s="45">
        <v>116.73</v>
      </c>
      <c r="E49" s="45">
        <v>115.23</v>
      </c>
      <c r="F49" s="45">
        <v>115.82</v>
      </c>
      <c r="G49" s="45"/>
      <c r="H49" s="45"/>
    </row>
    <row r="50" spans="2:8" x14ac:dyDescent="0.25">
      <c r="B50" s="45">
        <v>42718</v>
      </c>
      <c r="C50" s="45">
        <v>115.04</v>
      </c>
      <c r="D50" s="45">
        <v>116.2</v>
      </c>
      <c r="E50" s="45">
        <v>114.98</v>
      </c>
      <c r="F50" s="45">
        <v>115.19</v>
      </c>
      <c r="G50" s="45"/>
      <c r="H50" s="45"/>
    </row>
    <row r="51" spans="2:8" x14ac:dyDescent="0.25">
      <c r="B51" s="45">
        <v>42717</v>
      </c>
      <c r="C51" s="45">
        <v>113.84</v>
      </c>
      <c r="D51" s="45">
        <v>115.92</v>
      </c>
      <c r="E51" s="45">
        <v>113.75</v>
      </c>
      <c r="F51" s="45">
        <v>115.19</v>
      </c>
      <c r="G51" s="45"/>
      <c r="H51" s="45"/>
    </row>
    <row r="52" spans="2:8" x14ac:dyDescent="0.25">
      <c r="B52" s="45">
        <v>42716</v>
      </c>
      <c r="C52" s="45">
        <v>113.29</v>
      </c>
      <c r="D52" s="45">
        <v>115</v>
      </c>
      <c r="E52" s="45">
        <v>112.49</v>
      </c>
      <c r="F52" s="45">
        <v>113.3</v>
      </c>
      <c r="G52" s="45"/>
      <c r="H52" s="45"/>
    </row>
    <row r="53" spans="2:8" x14ac:dyDescent="0.25">
      <c r="B53" s="45">
        <v>42713</v>
      </c>
      <c r="C53" s="45">
        <v>112.31</v>
      </c>
      <c r="D53" s="45">
        <v>114.7</v>
      </c>
      <c r="E53" s="45">
        <v>112.31</v>
      </c>
      <c r="F53" s="45">
        <v>113.95</v>
      </c>
      <c r="G53" s="45"/>
      <c r="H53" s="45"/>
    </row>
    <row r="54" spans="2:8" x14ac:dyDescent="0.25">
      <c r="B54" s="45">
        <v>42712</v>
      </c>
      <c r="C54" s="45">
        <v>110.86</v>
      </c>
      <c r="D54" s="45">
        <v>112.43</v>
      </c>
      <c r="E54" s="45">
        <v>110.6</v>
      </c>
      <c r="F54" s="45">
        <v>112.12</v>
      </c>
      <c r="G54" s="45"/>
      <c r="H54" s="45"/>
    </row>
    <row r="55" spans="2:8" x14ac:dyDescent="0.25">
      <c r="B55" s="45">
        <v>42711</v>
      </c>
      <c r="C55" s="45">
        <v>109.26</v>
      </c>
      <c r="D55" s="45">
        <v>111.19</v>
      </c>
      <c r="E55" s="45">
        <v>109.16</v>
      </c>
      <c r="F55" s="45">
        <v>111.03</v>
      </c>
      <c r="G55" s="45"/>
      <c r="H55" s="45"/>
    </row>
    <row r="56" spans="2:8" x14ac:dyDescent="0.25">
      <c r="B56" s="45">
        <v>42710</v>
      </c>
      <c r="C56" s="45">
        <v>109.5</v>
      </c>
      <c r="D56" s="45">
        <v>110.36</v>
      </c>
      <c r="E56" s="45">
        <v>109.19</v>
      </c>
      <c r="F56" s="45">
        <v>109.95</v>
      </c>
      <c r="G56" s="45"/>
      <c r="H56" s="45"/>
    </row>
    <row r="57" spans="2:8" x14ac:dyDescent="0.25">
      <c r="B57" s="45">
        <v>42709</v>
      </c>
      <c r="C57" s="45">
        <v>110</v>
      </c>
      <c r="D57" s="45">
        <v>110.03</v>
      </c>
      <c r="E57" s="45">
        <v>108.25</v>
      </c>
      <c r="F57" s="45">
        <v>109.11</v>
      </c>
      <c r="G57" s="45"/>
      <c r="H57" s="45"/>
    </row>
    <row r="58" spans="2:8" x14ac:dyDescent="0.25">
      <c r="B58" s="45">
        <v>42706</v>
      </c>
      <c r="C58" s="45">
        <v>109.17</v>
      </c>
      <c r="D58" s="45">
        <v>110.09</v>
      </c>
      <c r="E58" s="45">
        <v>108.85</v>
      </c>
      <c r="F58" s="45">
        <v>109.9</v>
      </c>
      <c r="G58" s="45"/>
      <c r="H58" s="45"/>
    </row>
    <row r="59" spans="2:8" x14ac:dyDescent="0.25">
      <c r="B59" s="45">
        <v>42705</v>
      </c>
      <c r="C59" s="45">
        <v>110.37</v>
      </c>
      <c r="D59" s="45">
        <v>110.94</v>
      </c>
      <c r="E59" s="45">
        <v>109.03</v>
      </c>
      <c r="F59" s="45">
        <v>109.49</v>
      </c>
      <c r="G59" s="45"/>
      <c r="H59" s="45"/>
    </row>
    <row r="60" spans="2:8" x14ac:dyDescent="0.25">
      <c r="B60" s="45">
        <v>42704</v>
      </c>
      <c r="C60" s="45">
        <v>111.6</v>
      </c>
      <c r="D60" s="45">
        <v>112.2</v>
      </c>
      <c r="E60" s="45">
        <v>110.27</v>
      </c>
      <c r="F60" s="45">
        <v>110.52</v>
      </c>
      <c r="G60" s="45"/>
      <c r="H60" s="45"/>
    </row>
    <row r="61" spans="2:8" x14ac:dyDescent="0.25">
      <c r="B61" s="45">
        <v>42703</v>
      </c>
      <c r="C61" s="45">
        <v>110.78</v>
      </c>
      <c r="D61" s="45">
        <v>112.03</v>
      </c>
      <c r="E61" s="45">
        <v>110.07</v>
      </c>
      <c r="F61" s="45">
        <v>111.46</v>
      </c>
      <c r="G61" s="45"/>
      <c r="H61" s="45"/>
    </row>
    <row r="62" spans="2:8" x14ac:dyDescent="0.25">
      <c r="B62" s="45">
        <v>42702</v>
      </c>
      <c r="C62" s="45">
        <v>111.43</v>
      </c>
      <c r="D62" s="45">
        <v>112.47</v>
      </c>
      <c r="E62" s="45">
        <v>111.39</v>
      </c>
      <c r="F62" s="45">
        <v>111.57</v>
      </c>
      <c r="G62" s="45"/>
      <c r="H62" s="45"/>
    </row>
    <row r="63" spans="2:8" x14ac:dyDescent="0.25">
      <c r="B63" s="45">
        <v>42699</v>
      </c>
      <c r="C63" s="45">
        <v>111.13</v>
      </c>
      <c r="D63" s="45">
        <v>111.87</v>
      </c>
      <c r="E63" s="45">
        <v>110.95</v>
      </c>
      <c r="F63" s="45">
        <v>111.79</v>
      </c>
      <c r="G63" s="45"/>
      <c r="H63" s="45"/>
    </row>
    <row r="64" spans="2:8" x14ac:dyDescent="0.25">
      <c r="B64" s="45">
        <v>42697</v>
      </c>
      <c r="C64" s="45">
        <v>111.36</v>
      </c>
      <c r="D64" s="45">
        <v>111.51</v>
      </c>
      <c r="E64" s="45">
        <v>110.33</v>
      </c>
      <c r="F64" s="45">
        <v>111.23</v>
      </c>
      <c r="G64" s="45"/>
      <c r="H64" s="45"/>
    </row>
    <row r="65" spans="2:8" x14ac:dyDescent="0.25">
      <c r="B65" s="45">
        <v>42696</v>
      </c>
      <c r="C65" s="45">
        <v>111.95</v>
      </c>
      <c r="D65" s="45">
        <v>112.42</v>
      </c>
      <c r="E65" s="45">
        <v>111.4</v>
      </c>
      <c r="F65" s="45">
        <v>111.8</v>
      </c>
      <c r="G65" s="45"/>
      <c r="H65" s="45"/>
    </row>
    <row r="66" spans="2:8" x14ac:dyDescent="0.25">
      <c r="B66" s="45">
        <v>42695</v>
      </c>
      <c r="C66" s="45">
        <v>110.12</v>
      </c>
      <c r="D66" s="45">
        <v>111.99</v>
      </c>
      <c r="E66" s="45">
        <v>110.01</v>
      </c>
      <c r="F66" s="45">
        <v>111.73</v>
      </c>
      <c r="G66" s="45"/>
      <c r="H66" s="45"/>
    </row>
    <row r="67" spans="2:8" x14ac:dyDescent="0.25">
      <c r="B67" s="45">
        <v>42692</v>
      </c>
      <c r="C67" s="45">
        <v>109.72</v>
      </c>
      <c r="D67" s="45">
        <v>110.54</v>
      </c>
      <c r="E67" s="45">
        <v>109.66</v>
      </c>
      <c r="F67" s="45">
        <v>110.06</v>
      </c>
      <c r="G67" s="45"/>
      <c r="H67" s="45"/>
    </row>
    <row r="68" spans="2:8" x14ac:dyDescent="0.25">
      <c r="B68" s="45">
        <v>42691</v>
      </c>
      <c r="C68" s="45">
        <v>109.81</v>
      </c>
      <c r="D68" s="45">
        <v>110.35</v>
      </c>
      <c r="E68" s="45">
        <v>108.83</v>
      </c>
      <c r="F68" s="45">
        <v>109.95</v>
      </c>
      <c r="G68" s="45"/>
      <c r="H68" s="45"/>
    </row>
    <row r="69" spans="2:8" x14ac:dyDescent="0.25">
      <c r="B69" s="45">
        <v>42690</v>
      </c>
      <c r="C69" s="45">
        <v>106.7</v>
      </c>
      <c r="D69" s="45">
        <v>110.23</v>
      </c>
      <c r="E69" s="45">
        <v>106.6</v>
      </c>
      <c r="F69" s="45">
        <v>109.99</v>
      </c>
      <c r="G69" s="45"/>
      <c r="H69" s="45"/>
    </row>
    <row r="70" spans="2:8" x14ac:dyDescent="0.25">
      <c r="B70" s="45">
        <v>42689</v>
      </c>
      <c r="C70" s="45">
        <v>106.57</v>
      </c>
      <c r="D70" s="45">
        <v>107.68</v>
      </c>
      <c r="E70" s="45">
        <v>106.16</v>
      </c>
      <c r="F70" s="45">
        <v>107.11</v>
      </c>
      <c r="G70" s="45"/>
      <c r="H70" s="45"/>
    </row>
    <row r="71" spans="2:8" x14ac:dyDescent="0.25">
      <c r="B71" s="45">
        <v>42688</v>
      </c>
      <c r="C71" s="45">
        <v>107.71</v>
      </c>
      <c r="D71" s="45">
        <v>107.81</v>
      </c>
      <c r="E71" s="45">
        <v>104.08</v>
      </c>
      <c r="F71" s="45">
        <v>105.71</v>
      </c>
      <c r="G71" s="45"/>
      <c r="H71" s="45"/>
    </row>
    <row r="72" spans="2:8" x14ac:dyDescent="0.25">
      <c r="B72" s="45">
        <v>42685</v>
      </c>
      <c r="C72" s="45">
        <v>107.12</v>
      </c>
      <c r="D72" s="45">
        <v>108.87</v>
      </c>
      <c r="E72" s="45">
        <v>106.55</v>
      </c>
      <c r="F72" s="45">
        <v>108.43</v>
      </c>
      <c r="G72" s="45"/>
      <c r="H72" s="45"/>
    </row>
    <row r="73" spans="2:8" x14ac:dyDescent="0.25">
      <c r="B73" s="45">
        <v>42684</v>
      </c>
      <c r="C73" s="45">
        <v>111.09</v>
      </c>
      <c r="D73" s="45">
        <v>111.09</v>
      </c>
      <c r="E73" s="45">
        <v>105.83</v>
      </c>
      <c r="F73" s="45">
        <v>107.79</v>
      </c>
      <c r="G73" s="45"/>
      <c r="H73" s="45"/>
    </row>
    <row r="74" spans="2:8" x14ac:dyDescent="0.25">
      <c r="B74" s="45">
        <v>42683</v>
      </c>
      <c r="C74" s="45">
        <v>109.88</v>
      </c>
      <c r="D74" s="45">
        <v>111.32</v>
      </c>
      <c r="E74" s="45">
        <v>108.05</v>
      </c>
      <c r="F74" s="45">
        <v>110.88</v>
      </c>
      <c r="G74" s="45"/>
      <c r="H74" s="45"/>
    </row>
    <row r="75" spans="2:8" x14ac:dyDescent="0.25">
      <c r="B75" s="45">
        <v>42682</v>
      </c>
      <c r="C75" s="45">
        <v>110.31</v>
      </c>
      <c r="D75" s="45">
        <v>111.72</v>
      </c>
      <c r="E75" s="45">
        <v>109.7</v>
      </c>
      <c r="F75" s="45">
        <v>111.06</v>
      </c>
      <c r="G75" s="45"/>
      <c r="H75" s="45"/>
    </row>
    <row r="76" spans="2:8" x14ac:dyDescent="0.25">
      <c r="B76" s="45">
        <v>42681</v>
      </c>
      <c r="C76" s="45">
        <v>110.08</v>
      </c>
      <c r="D76" s="45">
        <v>110.51</v>
      </c>
      <c r="E76" s="45">
        <v>109.46</v>
      </c>
      <c r="F76" s="45">
        <v>110.41</v>
      </c>
      <c r="G76" s="45"/>
      <c r="H76" s="45"/>
    </row>
    <row r="77" spans="2:8" x14ac:dyDescent="0.25">
      <c r="B77" s="45">
        <v>42678</v>
      </c>
      <c r="C77" s="45">
        <v>108.53</v>
      </c>
      <c r="D77" s="45">
        <v>110.25</v>
      </c>
      <c r="E77" s="45">
        <v>108.11</v>
      </c>
      <c r="F77" s="45">
        <v>108.84</v>
      </c>
      <c r="G77" s="45"/>
      <c r="H77" s="45"/>
    </row>
    <row r="78" spans="2:8" x14ac:dyDescent="0.25">
      <c r="B78" s="45">
        <v>42677</v>
      </c>
      <c r="C78" s="45">
        <v>110.98</v>
      </c>
      <c r="D78" s="45">
        <v>111.46</v>
      </c>
      <c r="E78" s="45">
        <v>109.55</v>
      </c>
      <c r="F78" s="45">
        <v>109.83</v>
      </c>
      <c r="G78" s="45"/>
      <c r="H78" s="45"/>
    </row>
    <row r="79" spans="2:8" x14ac:dyDescent="0.25">
      <c r="B79" s="45"/>
    </row>
  </sheetData>
  <mergeCells count="3">
    <mergeCell ref="B2:E2"/>
    <mergeCell ref="S2:V2"/>
    <mergeCell ref="X2:Z2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6"/>
  <sheetViews>
    <sheetView topLeftCell="A22" workbookViewId="0">
      <selection activeCell="AH16" sqref="AH16"/>
    </sheetView>
  </sheetViews>
  <sheetFormatPr defaultColWidth="10.42578125" defaultRowHeight="12.75" x14ac:dyDescent="0.25"/>
  <cols>
    <col min="1" max="1" width="10.42578125" style="198"/>
    <col min="2" max="2" width="17.85546875" style="198" customWidth="1"/>
    <col min="3" max="3" width="9.85546875" style="198" customWidth="1"/>
    <col min="4" max="4" width="5.7109375" style="198" customWidth="1"/>
    <col min="5" max="5" width="6.42578125" style="198" customWidth="1"/>
    <col min="6" max="6" width="5.5703125" style="198" customWidth="1"/>
    <col min="7" max="7" width="5.42578125" style="198" customWidth="1"/>
    <col min="8" max="8" width="7.42578125" style="198" customWidth="1"/>
    <col min="9" max="9" width="9.5703125" style="198" customWidth="1"/>
    <col min="10" max="10" width="10.42578125" style="198"/>
    <col min="11" max="11" width="5.5703125" style="198" customWidth="1"/>
    <col min="12" max="12" width="6.28515625" style="198" customWidth="1"/>
    <col min="13" max="13" width="6.7109375" style="198" customWidth="1"/>
    <col min="14" max="14" width="6.5703125" style="198" customWidth="1"/>
    <col min="15" max="16" width="6.140625" style="198" customWidth="1"/>
    <col min="17" max="17" width="10.42578125" style="198"/>
    <col min="18" max="18" width="6" style="198" customWidth="1"/>
    <col min="19" max="19" width="6.5703125" style="198" customWidth="1"/>
    <col min="20" max="20" width="6" style="198" customWidth="1"/>
    <col min="21" max="21" width="5.5703125" style="198" customWidth="1"/>
    <col min="22" max="22" width="6" style="198" customWidth="1"/>
    <col min="23" max="23" width="4.7109375" style="198" customWidth="1"/>
    <col min="24" max="16384" width="10.42578125" style="198"/>
  </cols>
  <sheetData>
    <row r="1" spans="2:34" ht="14.25" x14ac:dyDescent="0.3">
      <c r="B1" s="510" t="s">
        <v>304</v>
      </c>
      <c r="C1" s="510"/>
      <c r="D1" s="510"/>
      <c r="E1" s="510"/>
      <c r="F1" s="510"/>
      <c r="G1" s="510"/>
      <c r="H1" s="254"/>
      <c r="I1" s="254"/>
      <c r="J1" s="510" t="s">
        <v>305</v>
      </c>
      <c r="K1" s="510"/>
      <c r="L1" s="510"/>
      <c r="M1" s="510"/>
      <c r="N1" s="510"/>
      <c r="O1" s="510"/>
      <c r="P1" s="254"/>
      <c r="Q1" s="510" t="s">
        <v>311</v>
      </c>
      <c r="R1" s="510"/>
      <c r="S1" s="510"/>
      <c r="T1" s="510"/>
      <c r="U1" s="510"/>
      <c r="V1" s="510"/>
      <c r="Y1" s="510"/>
      <c r="Z1" s="510"/>
      <c r="AB1" s="510" t="s">
        <v>311</v>
      </c>
      <c r="AC1" s="510"/>
      <c r="AD1" s="510"/>
      <c r="AE1" s="510"/>
      <c r="AF1" s="510"/>
      <c r="AG1" s="510"/>
    </row>
    <row r="2" spans="2:34" ht="14.25" x14ac:dyDescent="0.3">
      <c r="B2" s="275"/>
      <c r="C2" s="535" t="s">
        <v>297</v>
      </c>
      <c r="D2" s="535"/>
      <c r="E2" s="535"/>
      <c r="F2" s="535"/>
      <c r="G2" s="535"/>
      <c r="H2" s="425"/>
      <c r="I2" s="425"/>
      <c r="J2" s="275"/>
      <c r="K2" s="535" t="s">
        <v>303</v>
      </c>
      <c r="L2" s="535"/>
      <c r="M2" s="535"/>
      <c r="N2" s="535"/>
      <c r="O2" s="535"/>
      <c r="P2" s="425"/>
      <c r="Q2" s="275"/>
      <c r="R2" s="535" t="s">
        <v>303</v>
      </c>
      <c r="S2" s="535"/>
      <c r="T2" s="535"/>
      <c r="U2" s="535"/>
      <c r="V2" s="535"/>
      <c r="Y2" s="200" t="s">
        <v>321</v>
      </c>
      <c r="Z2" s="200" t="s">
        <v>322</v>
      </c>
      <c r="AB2" s="275"/>
      <c r="AC2" s="535" t="s">
        <v>303</v>
      </c>
      <c r="AD2" s="535"/>
      <c r="AE2" s="535"/>
      <c r="AF2" s="535"/>
      <c r="AG2" s="535"/>
    </row>
    <row r="3" spans="2:34" ht="27.75" customHeight="1" x14ac:dyDescent="0.3">
      <c r="B3" s="215" t="s">
        <v>296</v>
      </c>
      <c r="C3" s="418" t="s">
        <v>291</v>
      </c>
      <c r="D3" s="418" t="s">
        <v>292</v>
      </c>
      <c r="E3" s="418" t="s">
        <v>293</v>
      </c>
      <c r="F3" s="418" t="s">
        <v>294</v>
      </c>
      <c r="G3" s="418" t="s">
        <v>295</v>
      </c>
      <c r="H3" s="420"/>
      <c r="I3" s="420"/>
      <c r="J3" s="215" t="s">
        <v>296</v>
      </c>
      <c r="K3" s="418" t="s">
        <v>291</v>
      </c>
      <c r="L3" s="418" t="s">
        <v>292</v>
      </c>
      <c r="M3" s="418" t="s">
        <v>293</v>
      </c>
      <c r="N3" s="418" t="s">
        <v>294</v>
      </c>
      <c r="O3" s="418" t="s">
        <v>295</v>
      </c>
      <c r="P3" s="420"/>
      <c r="Q3" s="215" t="s">
        <v>296</v>
      </c>
      <c r="R3" s="418" t="s">
        <v>291</v>
      </c>
      <c r="S3" s="418" t="s">
        <v>292</v>
      </c>
      <c r="T3" s="418" t="s">
        <v>293</v>
      </c>
      <c r="U3" s="418" t="s">
        <v>294</v>
      </c>
      <c r="V3" s="418" t="s">
        <v>295</v>
      </c>
      <c r="Y3" s="207">
        <v>-600</v>
      </c>
      <c r="Z3" s="207">
        <v>0</v>
      </c>
      <c r="AB3" s="215" t="s">
        <v>296</v>
      </c>
      <c r="AC3" s="418" t="s">
        <v>291</v>
      </c>
      <c r="AD3" s="418" t="s">
        <v>292</v>
      </c>
      <c r="AE3" s="418" t="s">
        <v>293</v>
      </c>
      <c r="AF3" s="418" t="s">
        <v>294</v>
      </c>
      <c r="AG3" s="418" t="s">
        <v>295</v>
      </c>
    </row>
    <row r="4" spans="2:34" ht="14.25" x14ac:dyDescent="0.3">
      <c r="B4" s="366" t="s">
        <v>298</v>
      </c>
      <c r="C4" s="419">
        <v>-100</v>
      </c>
      <c r="D4" s="417">
        <v>100</v>
      </c>
      <c r="E4" s="218">
        <v>200</v>
      </c>
      <c r="F4" s="417">
        <v>300</v>
      </c>
      <c r="G4" s="218">
        <v>0</v>
      </c>
      <c r="H4" s="247"/>
      <c r="I4" s="247"/>
      <c r="J4" s="366" t="s">
        <v>298</v>
      </c>
      <c r="K4" s="419">
        <v>-100</v>
      </c>
      <c r="L4" s="417">
        <v>100</v>
      </c>
      <c r="M4" s="218">
        <v>200</v>
      </c>
      <c r="N4" s="417">
        <v>300</v>
      </c>
      <c r="O4" s="218">
        <v>0</v>
      </c>
      <c r="P4" s="247"/>
      <c r="Q4" s="215" t="s">
        <v>5</v>
      </c>
      <c r="R4" s="370">
        <v>0.2</v>
      </c>
      <c r="S4" s="438">
        <v>0.3</v>
      </c>
      <c r="T4" s="366">
        <v>0.3</v>
      </c>
      <c r="U4" s="438">
        <v>0.1</v>
      </c>
      <c r="V4" s="366">
        <v>0.1</v>
      </c>
      <c r="W4" s="200" t="s">
        <v>3</v>
      </c>
      <c r="Y4" s="208">
        <v>-200</v>
      </c>
      <c r="Z4" s="208">
        <v>0.25</v>
      </c>
      <c r="AB4" s="215" t="s">
        <v>5</v>
      </c>
      <c r="AC4" s="370">
        <v>0.2</v>
      </c>
      <c r="AD4" s="438">
        <v>0.3</v>
      </c>
      <c r="AE4" s="366">
        <v>0.3</v>
      </c>
      <c r="AF4" s="438">
        <v>0.1</v>
      </c>
      <c r="AG4" s="366">
        <v>0.1</v>
      </c>
      <c r="AH4" s="200" t="s">
        <v>318</v>
      </c>
    </row>
    <row r="5" spans="2:34" x14ac:dyDescent="0.25">
      <c r="B5" s="367" t="s">
        <v>299</v>
      </c>
      <c r="C5" s="318">
        <v>250</v>
      </c>
      <c r="D5" s="247">
        <v>200</v>
      </c>
      <c r="E5" s="219">
        <v>150</v>
      </c>
      <c r="F5" s="247">
        <v>-100</v>
      </c>
      <c r="G5" s="219">
        <v>-150</v>
      </c>
      <c r="H5" s="247"/>
      <c r="I5" s="247"/>
      <c r="J5" s="367" t="s">
        <v>299</v>
      </c>
      <c r="K5" s="318">
        <v>250</v>
      </c>
      <c r="L5" s="247">
        <v>200</v>
      </c>
      <c r="M5" s="219">
        <v>150</v>
      </c>
      <c r="N5" s="247">
        <v>-100</v>
      </c>
      <c r="O5" s="219">
        <v>-150</v>
      </c>
      <c r="P5" s="247"/>
      <c r="Q5" s="366" t="s">
        <v>298</v>
      </c>
      <c r="R5" s="419">
        <v>-100</v>
      </c>
      <c r="S5" s="417">
        <v>100</v>
      </c>
      <c r="T5" s="218">
        <v>200</v>
      </c>
      <c r="U5" s="417">
        <v>300</v>
      </c>
      <c r="V5" s="218">
        <v>0</v>
      </c>
      <c r="W5" s="218">
        <f>R$4*R5+S$4*S5+T$4*T5+U$4*U5+V$4*V5</f>
        <v>100</v>
      </c>
      <c r="Y5" s="208">
        <v>-150</v>
      </c>
      <c r="Z5" s="208">
        <v>0.3</v>
      </c>
      <c r="AB5" s="366" t="s">
        <v>298</v>
      </c>
      <c r="AC5" s="449">
        <v>0.35</v>
      </c>
      <c r="AD5" s="450">
        <v>0.65</v>
      </c>
      <c r="AE5" s="451">
        <v>0.75</v>
      </c>
      <c r="AF5" s="450">
        <v>0.9</v>
      </c>
      <c r="AG5" s="451">
        <v>0.5</v>
      </c>
      <c r="AH5" s="238">
        <f>AC$4*AC5+AD$4*AD5+AE$4*AE5+AF$4*AF5+AG$4*AG5</f>
        <v>0.63</v>
      </c>
    </row>
    <row r="6" spans="2:34" x14ac:dyDescent="0.25">
      <c r="B6" s="367" t="s">
        <v>300</v>
      </c>
      <c r="C6" s="318">
        <v>500</v>
      </c>
      <c r="D6" s="247">
        <v>250</v>
      </c>
      <c r="E6" s="219">
        <v>100</v>
      </c>
      <c r="F6" s="247">
        <v>-200</v>
      </c>
      <c r="G6" s="219">
        <v>-600</v>
      </c>
      <c r="H6" s="247"/>
      <c r="I6" s="247"/>
      <c r="J6" s="367" t="s">
        <v>300</v>
      </c>
      <c r="K6" s="318">
        <v>500</v>
      </c>
      <c r="L6" s="247">
        <v>250</v>
      </c>
      <c r="M6" s="219">
        <v>100</v>
      </c>
      <c r="N6" s="247">
        <v>-200</v>
      </c>
      <c r="O6" s="219">
        <v>-600</v>
      </c>
      <c r="P6" s="247"/>
      <c r="Q6" s="367" t="s">
        <v>299</v>
      </c>
      <c r="R6" s="318">
        <v>250</v>
      </c>
      <c r="S6" s="247">
        <v>200</v>
      </c>
      <c r="T6" s="219">
        <v>150</v>
      </c>
      <c r="U6" s="247">
        <v>-100</v>
      </c>
      <c r="V6" s="219">
        <v>-150</v>
      </c>
      <c r="W6" s="219">
        <f>R$4*R6+S$4*S6+T$4*T6+U$4*U6+V$4*V6</f>
        <v>130</v>
      </c>
      <c r="Y6" s="208">
        <v>-100</v>
      </c>
      <c r="Z6" s="208">
        <v>0.35</v>
      </c>
      <c r="AB6" s="367" t="s">
        <v>299</v>
      </c>
      <c r="AC6" s="452">
        <v>0.85</v>
      </c>
      <c r="AD6" s="453">
        <v>0.75</v>
      </c>
      <c r="AE6" s="454">
        <v>0.7</v>
      </c>
      <c r="AF6" s="453">
        <v>0.35</v>
      </c>
      <c r="AG6" s="454">
        <v>0.3</v>
      </c>
      <c r="AH6" s="240">
        <f>AC$4*AC6+AD$4*AD6+AE$4*AE6+AF$4*AF6+AG$4*AG6</f>
        <v>0.67</v>
      </c>
    </row>
    <row r="7" spans="2:34" x14ac:dyDescent="0.25">
      <c r="B7" s="367" t="s">
        <v>301</v>
      </c>
      <c r="C7" s="318">
        <v>60</v>
      </c>
      <c r="D7" s="247">
        <v>60</v>
      </c>
      <c r="E7" s="219">
        <v>60</v>
      </c>
      <c r="F7" s="247">
        <v>60</v>
      </c>
      <c r="G7" s="219">
        <v>60</v>
      </c>
      <c r="H7" s="247"/>
      <c r="I7" s="247"/>
      <c r="J7" s="368" t="s">
        <v>301</v>
      </c>
      <c r="K7" s="320">
        <v>60</v>
      </c>
      <c r="L7" s="319">
        <v>60</v>
      </c>
      <c r="M7" s="220">
        <v>60</v>
      </c>
      <c r="N7" s="319">
        <v>60</v>
      </c>
      <c r="O7" s="220">
        <v>60</v>
      </c>
      <c r="P7" s="247"/>
      <c r="Q7" s="367" t="s">
        <v>300</v>
      </c>
      <c r="R7" s="318">
        <v>500</v>
      </c>
      <c r="S7" s="247">
        <v>250</v>
      </c>
      <c r="T7" s="219">
        <v>100</v>
      </c>
      <c r="U7" s="247">
        <v>-200</v>
      </c>
      <c r="V7" s="219">
        <v>-600</v>
      </c>
      <c r="W7" s="219">
        <f>R$4*R7+S$4*S7+T$4*T7+U$4*U7+V$4*V7</f>
        <v>125</v>
      </c>
      <c r="Y7" s="208">
        <v>0</v>
      </c>
      <c r="Z7" s="208">
        <v>0.5</v>
      </c>
      <c r="AB7" s="367" t="s">
        <v>300</v>
      </c>
      <c r="AC7" s="452">
        <v>1</v>
      </c>
      <c r="AD7" s="453">
        <v>0.85</v>
      </c>
      <c r="AE7" s="454">
        <v>0.65</v>
      </c>
      <c r="AF7" s="453">
        <v>0.25</v>
      </c>
      <c r="AG7" s="454">
        <v>0</v>
      </c>
      <c r="AH7" s="240">
        <f>AC$4*AC7+AD$4*AD7+AE$4*AE7+AF$4*AF7+AG$4*AG7</f>
        <v>0.67500000000000004</v>
      </c>
    </row>
    <row r="8" spans="2:34" x14ac:dyDescent="0.25">
      <c r="B8" s="368" t="s">
        <v>302</v>
      </c>
      <c r="C8" s="320">
        <v>200</v>
      </c>
      <c r="D8" s="319">
        <v>150</v>
      </c>
      <c r="E8" s="220">
        <v>150</v>
      </c>
      <c r="F8" s="319">
        <v>-200</v>
      </c>
      <c r="G8" s="220">
        <v>-150</v>
      </c>
      <c r="H8" s="247"/>
      <c r="I8" s="247"/>
      <c r="J8" s="420"/>
      <c r="K8" s="247"/>
      <c r="L8" s="247"/>
      <c r="M8" s="247"/>
      <c r="N8" s="247"/>
      <c r="O8" s="247"/>
      <c r="P8" s="247"/>
      <c r="Q8" s="368" t="s">
        <v>301</v>
      </c>
      <c r="R8" s="320">
        <v>60</v>
      </c>
      <c r="S8" s="319">
        <v>60</v>
      </c>
      <c r="T8" s="220">
        <v>60</v>
      </c>
      <c r="U8" s="319">
        <v>60</v>
      </c>
      <c r="V8" s="220">
        <v>60</v>
      </c>
      <c r="W8" s="220">
        <f>R$4*R8+S$4*S8+T$4*T8+U$4*U8+V$4*V8</f>
        <v>60</v>
      </c>
      <c r="Y8" s="208">
        <v>60</v>
      </c>
      <c r="Z8" s="208">
        <v>0.6</v>
      </c>
      <c r="AB8" s="368" t="s">
        <v>301</v>
      </c>
      <c r="AC8" s="455">
        <v>0.6</v>
      </c>
      <c r="AD8" s="456">
        <v>0.6</v>
      </c>
      <c r="AE8" s="457">
        <v>0.6</v>
      </c>
      <c r="AF8" s="456">
        <v>0.6</v>
      </c>
      <c r="AG8" s="457">
        <v>0.6</v>
      </c>
      <c r="AH8" s="242">
        <f>AC$4*AC8+AD$4*AD8+AE$4*AE8+AF$4*AF8+AG$4*AG8</f>
        <v>0.60000000000000009</v>
      </c>
    </row>
    <row r="9" spans="2:34" x14ac:dyDescent="0.25">
      <c r="Y9" s="208">
        <v>100</v>
      </c>
      <c r="Z9" s="208">
        <v>0.65</v>
      </c>
    </row>
    <row r="10" spans="2:34" x14ac:dyDescent="0.25">
      <c r="Y10" s="208">
        <v>150</v>
      </c>
      <c r="Z10" s="208">
        <v>0.7</v>
      </c>
    </row>
    <row r="11" spans="2:34" x14ac:dyDescent="0.25">
      <c r="Y11" s="208">
        <v>200</v>
      </c>
      <c r="Z11" s="208">
        <v>0.75</v>
      </c>
    </row>
    <row r="12" spans="2:34" ht="14.25" x14ac:dyDescent="0.3">
      <c r="B12" s="510" t="s">
        <v>306</v>
      </c>
      <c r="C12" s="510"/>
      <c r="D12" s="510"/>
      <c r="E12" s="510"/>
      <c r="F12" s="510"/>
      <c r="G12" s="510"/>
      <c r="H12" s="254"/>
      <c r="I12" s="254"/>
      <c r="J12" s="510" t="s">
        <v>307</v>
      </c>
      <c r="K12" s="510"/>
      <c r="L12" s="510"/>
      <c r="M12" s="510"/>
      <c r="N12" s="510"/>
      <c r="O12" s="510"/>
      <c r="P12" s="254"/>
      <c r="Y12" s="208">
        <v>250</v>
      </c>
      <c r="Z12" s="208">
        <v>0.85</v>
      </c>
    </row>
    <row r="13" spans="2:34" ht="14.25" x14ac:dyDescent="0.3">
      <c r="B13" s="275"/>
      <c r="C13" s="535" t="s">
        <v>303</v>
      </c>
      <c r="D13" s="535"/>
      <c r="E13" s="535"/>
      <c r="F13" s="535"/>
      <c r="G13" s="535"/>
      <c r="H13" s="425"/>
      <c r="I13" s="425"/>
      <c r="J13" s="275"/>
      <c r="K13" s="535" t="s">
        <v>303</v>
      </c>
      <c r="L13" s="535"/>
      <c r="M13" s="535"/>
      <c r="N13" s="535"/>
      <c r="O13" s="535"/>
      <c r="P13" s="425"/>
      <c r="Q13" s="510" t="s">
        <v>308</v>
      </c>
      <c r="R13" s="510"/>
      <c r="S13" s="510"/>
      <c r="T13" s="510"/>
      <c r="U13" s="510"/>
      <c r="V13" s="510"/>
      <c r="Y13" s="208">
        <v>300</v>
      </c>
      <c r="Z13" s="208">
        <v>0.9</v>
      </c>
    </row>
    <row r="14" spans="2:34" ht="28.5" x14ac:dyDescent="0.3">
      <c r="B14" s="215" t="s">
        <v>296</v>
      </c>
      <c r="C14" s="418" t="s">
        <v>291</v>
      </c>
      <c r="D14" s="418" t="s">
        <v>292</v>
      </c>
      <c r="E14" s="418" t="s">
        <v>293</v>
      </c>
      <c r="F14" s="418" t="s">
        <v>294</v>
      </c>
      <c r="G14" s="418" t="s">
        <v>295</v>
      </c>
      <c r="H14" s="420"/>
      <c r="I14" s="420"/>
      <c r="J14" s="215" t="s">
        <v>296</v>
      </c>
      <c r="K14" s="418" t="s">
        <v>291</v>
      </c>
      <c r="L14" s="418" t="s">
        <v>292</v>
      </c>
      <c r="M14" s="418" t="s">
        <v>293</v>
      </c>
      <c r="N14" s="418" t="s">
        <v>294</v>
      </c>
      <c r="O14" s="418" t="s">
        <v>295</v>
      </c>
      <c r="P14" s="420"/>
      <c r="Q14" s="275"/>
      <c r="R14" s="535" t="s">
        <v>303</v>
      </c>
      <c r="S14" s="535"/>
      <c r="T14" s="535"/>
      <c r="U14" s="535"/>
      <c r="V14" s="535"/>
      <c r="Y14" s="209">
        <v>500</v>
      </c>
      <c r="Z14" s="209">
        <v>1</v>
      </c>
    </row>
    <row r="15" spans="2:34" ht="39" x14ac:dyDescent="0.3">
      <c r="B15" s="366" t="s">
        <v>298</v>
      </c>
      <c r="C15" s="421">
        <v>-100</v>
      </c>
      <c r="D15" s="417">
        <v>100</v>
      </c>
      <c r="E15" s="218">
        <v>200</v>
      </c>
      <c r="F15" s="417">
        <v>300</v>
      </c>
      <c r="G15" s="218">
        <v>0</v>
      </c>
      <c r="H15" s="247"/>
      <c r="I15" s="247"/>
      <c r="J15" s="366" t="s">
        <v>298</v>
      </c>
      <c r="K15" s="419">
        <v>-100</v>
      </c>
      <c r="L15" s="417">
        <v>100</v>
      </c>
      <c r="M15" s="218">
        <v>200</v>
      </c>
      <c r="N15" s="423">
        <v>300</v>
      </c>
      <c r="O15" s="218">
        <v>0</v>
      </c>
      <c r="P15" s="247"/>
      <c r="Q15" s="215" t="s">
        <v>296</v>
      </c>
      <c r="R15" s="366" t="s">
        <v>291</v>
      </c>
      <c r="S15" s="366" t="s">
        <v>292</v>
      </c>
      <c r="T15" s="366" t="s">
        <v>293</v>
      </c>
      <c r="U15" s="366" t="s">
        <v>294</v>
      </c>
      <c r="V15" s="366" t="s">
        <v>295</v>
      </c>
      <c r="AB15" s="198">
        <v>0.35</v>
      </c>
    </row>
    <row r="16" spans="2:34" x14ac:dyDescent="0.25">
      <c r="B16" s="367" t="s">
        <v>299</v>
      </c>
      <c r="C16" s="318">
        <v>250</v>
      </c>
      <c r="D16" s="247">
        <v>200</v>
      </c>
      <c r="E16" s="219">
        <v>150</v>
      </c>
      <c r="F16" s="247">
        <v>-100</v>
      </c>
      <c r="G16" s="303">
        <v>-150</v>
      </c>
      <c r="H16" s="308"/>
      <c r="I16" s="426"/>
      <c r="J16" s="367" t="s">
        <v>299</v>
      </c>
      <c r="K16" s="424">
        <v>250</v>
      </c>
      <c r="L16" s="247">
        <v>200</v>
      </c>
      <c r="M16" s="219">
        <v>150</v>
      </c>
      <c r="N16" s="247">
        <v>-100</v>
      </c>
      <c r="O16" s="219">
        <v>-150</v>
      </c>
      <c r="P16" s="247"/>
      <c r="Q16" s="369" t="s">
        <v>298</v>
      </c>
      <c r="R16" s="429">
        <f>500-K15</f>
        <v>600</v>
      </c>
      <c r="S16" s="218">
        <f>250-L15</f>
        <v>150</v>
      </c>
      <c r="T16" s="417">
        <f>200-M15</f>
        <v>0</v>
      </c>
      <c r="U16" s="218">
        <f>300-N15</f>
        <v>0</v>
      </c>
      <c r="V16" s="419">
        <f>60-O15</f>
        <v>60</v>
      </c>
    </row>
    <row r="17" spans="2:22" x14ac:dyDescent="0.25">
      <c r="B17" s="367" t="s">
        <v>300</v>
      </c>
      <c r="C17" s="318">
        <v>500</v>
      </c>
      <c r="D17" s="247">
        <v>250</v>
      </c>
      <c r="E17" s="219">
        <v>100</v>
      </c>
      <c r="F17" s="247">
        <v>-200</v>
      </c>
      <c r="G17" s="303">
        <v>-600</v>
      </c>
      <c r="H17" s="308"/>
      <c r="I17" s="426"/>
      <c r="J17" s="367" t="s">
        <v>300</v>
      </c>
      <c r="K17" s="424">
        <v>500</v>
      </c>
      <c r="L17" s="247">
        <v>250</v>
      </c>
      <c r="M17" s="219">
        <v>100</v>
      </c>
      <c r="N17" s="247">
        <v>-200</v>
      </c>
      <c r="O17" s="219">
        <v>-600</v>
      </c>
      <c r="P17" s="247"/>
      <c r="Q17" s="371" t="s">
        <v>299</v>
      </c>
      <c r="R17" s="271">
        <f>500-K16</f>
        <v>250</v>
      </c>
      <c r="S17" s="219">
        <f>250-L16</f>
        <v>50</v>
      </c>
      <c r="T17" s="247">
        <f>200-M16</f>
        <v>50</v>
      </c>
      <c r="U17" s="303">
        <f>300-N16</f>
        <v>400</v>
      </c>
      <c r="V17" s="318">
        <f>60-O16</f>
        <v>210</v>
      </c>
    </row>
    <row r="18" spans="2:22" x14ac:dyDescent="0.25">
      <c r="B18" s="368" t="s">
        <v>301</v>
      </c>
      <c r="C18" s="317">
        <v>60</v>
      </c>
      <c r="D18" s="422">
        <v>60</v>
      </c>
      <c r="E18" s="304">
        <v>60</v>
      </c>
      <c r="F18" s="422">
        <v>60</v>
      </c>
      <c r="G18" s="304">
        <v>60</v>
      </c>
      <c r="H18" s="308"/>
      <c r="I18" s="426"/>
      <c r="J18" s="368" t="s">
        <v>301</v>
      </c>
      <c r="K18" s="317">
        <v>60</v>
      </c>
      <c r="L18" s="422">
        <v>60</v>
      </c>
      <c r="M18" s="304">
        <v>60</v>
      </c>
      <c r="N18" s="422">
        <v>60</v>
      </c>
      <c r="O18" s="304">
        <v>60</v>
      </c>
      <c r="P18" s="426"/>
      <c r="Q18" s="371" t="s">
        <v>300</v>
      </c>
      <c r="R18" s="271">
        <f>500-K17</f>
        <v>0</v>
      </c>
      <c r="S18" s="219">
        <f>250-L17</f>
        <v>0</v>
      </c>
      <c r="T18" s="247">
        <f>200-M17</f>
        <v>100</v>
      </c>
      <c r="U18" s="219">
        <f>300-N17</f>
        <v>500</v>
      </c>
      <c r="V18" s="424">
        <f>60-O17</f>
        <v>660</v>
      </c>
    </row>
    <row r="19" spans="2:22" x14ac:dyDescent="0.25">
      <c r="Q19" s="372" t="s">
        <v>301</v>
      </c>
      <c r="R19" s="430">
        <f>500-K18</f>
        <v>440</v>
      </c>
      <c r="S19" s="220">
        <f>250-L18</f>
        <v>190</v>
      </c>
      <c r="T19" s="319">
        <f>200-M18</f>
        <v>140</v>
      </c>
      <c r="U19" s="220">
        <f>300-N18</f>
        <v>240</v>
      </c>
      <c r="V19" s="320">
        <f>60-O18</f>
        <v>0</v>
      </c>
    </row>
    <row r="22" spans="2:22" ht="14.25" x14ac:dyDescent="0.3">
      <c r="B22" s="510" t="s">
        <v>309</v>
      </c>
      <c r="C22" s="510"/>
      <c r="D22" s="510"/>
      <c r="E22" s="510"/>
      <c r="F22" s="510"/>
      <c r="G22" s="510"/>
      <c r="H22" s="254"/>
      <c r="I22" s="254"/>
      <c r="J22" s="510" t="s">
        <v>310</v>
      </c>
      <c r="K22" s="510"/>
      <c r="L22" s="510"/>
      <c r="M22" s="510"/>
      <c r="N22" s="510"/>
      <c r="O22" s="510"/>
    </row>
    <row r="23" spans="2:22" ht="14.25" x14ac:dyDescent="0.3">
      <c r="B23" s="275"/>
      <c r="C23" s="535" t="s">
        <v>303</v>
      </c>
      <c r="D23" s="535"/>
      <c r="E23" s="535"/>
      <c r="F23" s="535"/>
      <c r="G23" s="535"/>
      <c r="H23" s="425"/>
      <c r="I23" s="425"/>
      <c r="J23" s="275"/>
      <c r="K23" s="535" t="s">
        <v>303</v>
      </c>
      <c r="L23" s="535"/>
      <c r="M23" s="535"/>
      <c r="N23" s="535"/>
      <c r="O23" s="535"/>
    </row>
    <row r="24" spans="2:22" ht="28.5" x14ac:dyDescent="0.3">
      <c r="B24" s="215" t="s">
        <v>296</v>
      </c>
      <c r="C24" s="418" t="s">
        <v>291</v>
      </c>
      <c r="D24" s="418" t="s">
        <v>292</v>
      </c>
      <c r="E24" s="418" t="s">
        <v>293</v>
      </c>
      <c r="F24" s="418" t="s">
        <v>294</v>
      </c>
      <c r="G24" s="418" t="s">
        <v>295</v>
      </c>
      <c r="H24" s="200" t="s">
        <v>3</v>
      </c>
      <c r="I24" s="420"/>
      <c r="J24" s="215" t="s">
        <v>296</v>
      </c>
      <c r="K24" s="366" t="s">
        <v>291</v>
      </c>
      <c r="L24" s="366" t="s">
        <v>292</v>
      </c>
      <c r="M24" s="366" t="s">
        <v>293</v>
      </c>
      <c r="N24" s="366" t="s">
        <v>294</v>
      </c>
      <c r="O24" s="366" t="s">
        <v>295</v>
      </c>
    </row>
    <row r="25" spans="2:22" x14ac:dyDescent="0.25">
      <c r="B25" s="366" t="s">
        <v>298</v>
      </c>
      <c r="C25" s="427">
        <v>-100</v>
      </c>
      <c r="D25" s="431">
        <v>100</v>
      </c>
      <c r="E25" s="432">
        <v>200</v>
      </c>
      <c r="F25" s="431">
        <v>300</v>
      </c>
      <c r="G25" s="432">
        <v>0</v>
      </c>
      <c r="H25" s="428">
        <f>SUM(C25:G25)</f>
        <v>500</v>
      </c>
      <c r="I25" s="247"/>
      <c r="J25" s="369" t="s">
        <v>298</v>
      </c>
      <c r="K25" s="429">
        <f>500-C25</f>
        <v>600</v>
      </c>
      <c r="L25" s="218">
        <f>250-D25</f>
        <v>150</v>
      </c>
      <c r="M25" s="417">
        <f>200-E25</f>
        <v>0</v>
      </c>
      <c r="N25" s="218">
        <f>300-F25</f>
        <v>0</v>
      </c>
      <c r="O25" s="419">
        <f>60-G25</f>
        <v>60</v>
      </c>
    </row>
    <row r="26" spans="2:22" x14ac:dyDescent="0.25">
      <c r="B26" s="367" t="s">
        <v>299</v>
      </c>
      <c r="C26" s="433">
        <v>250</v>
      </c>
      <c r="D26" s="426">
        <v>200</v>
      </c>
      <c r="E26" s="434">
        <v>150</v>
      </c>
      <c r="F26" s="426">
        <v>-100</v>
      </c>
      <c r="G26" s="434">
        <v>-150</v>
      </c>
      <c r="H26" s="434">
        <f>SUM(C26:G26)</f>
        <v>350</v>
      </c>
      <c r="I26" s="426"/>
      <c r="J26" s="371" t="s">
        <v>299</v>
      </c>
      <c r="K26" s="271">
        <f>500-C26</f>
        <v>250</v>
      </c>
      <c r="L26" s="219">
        <f>250-D26</f>
        <v>50</v>
      </c>
      <c r="M26" s="247">
        <f>200-E26</f>
        <v>50</v>
      </c>
      <c r="N26" s="303">
        <f>300-F26</f>
        <v>400</v>
      </c>
      <c r="O26" s="318">
        <f>60-G26</f>
        <v>210</v>
      </c>
    </row>
    <row r="27" spans="2:22" x14ac:dyDescent="0.25">
      <c r="B27" s="367" t="s">
        <v>300</v>
      </c>
      <c r="C27" s="433">
        <v>500</v>
      </c>
      <c r="D27" s="426">
        <v>250</v>
      </c>
      <c r="E27" s="434">
        <v>100</v>
      </c>
      <c r="F27" s="426">
        <v>-200</v>
      </c>
      <c r="G27" s="434">
        <v>-600</v>
      </c>
      <c r="H27" s="434">
        <f>SUM(C27:G27)</f>
        <v>50</v>
      </c>
      <c r="I27" s="426"/>
      <c r="J27" s="371" t="s">
        <v>300</v>
      </c>
      <c r="K27" s="271">
        <f>500-C27</f>
        <v>0</v>
      </c>
      <c r="L27" s="219">
        <f>250-D27</f>
        <v>0</v>
      </c>
      <c r="M27" s="247">
        <f>200-E27</f>
        <v>100</v>
      </c>
      <c r="N27" s="219">
        <f>300-F27</f>
        <v>500</v>
      </c>
      <c r="O27" s="424">
        <f>60-G27</f>
        <v>660</v>
      </c>
    </row>
    <row r="28" spans="2:22" x14ac:dyDescent="0.25">
      <c r="B28" s="368" t="s">
        <v>301</v>
      </c>
      <c r="C28" s="435">
        <v>60</v>
      </c>
      <c r="D28" s="436">
        <v>60</v>
      </c>
      <c r="E28" s="437">
        <v>60</v>
      </c>
      <c r="F28" s="436">
        <v>60</v>
      </c>
      <c r="G28" s="437">
        <v>60</v>
      </c>
      <c r="H28" s="437">
        <f>SUM(C28:G28)</f>
        <v>300</v>
      </c>
      <c r="I28" s="426"/>
      <c r="J28" s="372" t="s">
        <v>301</v>
      </c>
      <c r="K28" s="430">
        <f>500-C28</f>
        <v>440</v>
      </c>
      <c r="L28" s="220">
        <f>250-D28</f>
        <v>190</v>
      </c>
      <c r="M28" s="319">
        <f>200-E28</f>
        <v>140</v>
      </c>
      <c r="N28" s="220">
        <f>300-F28</f>
        <v>240</v>
      </c>
      <c r="O28" s="320">
        <f>60-G28</f>
        <v>0</v>
      </c>
    </row>
    <row r="32" spans="2:22" ht="14.25" x14ac:dyDescent="0.3">
      <c r="B32" s="510" t="s">
        <v>311</v>
      </c>
      <c r="C32" s="510"/>
      <c r="D32" s="510"/>
      <c r="E32" s="510"/>
      <c r="F32" s="510"/>
      <c r="G32" s="510"/>
    </row>
    <row r="33" spans="1:10" ht="14.25" x14ac:dyDescent="0.3">
      <c r="B33" s="275"/>
      <c r="C33" s="535" t="s">
        <v>303</v>
      </c>
      <c r="D33" s="535"/>
      <c r="E33" s="535"/>
      <c r="F33" s="535"/>
      <c r="G33" s="535"/>
    </row>
    <row r="34" spans="1:10" ht="26.25" x14ac:dyDescent="0.3">
      <c r="B34" s="215" t="s">
        <v>296</v>
      </c>
      <c r="C34" s="418" t="s">
        <v>291</v>
      </c>
      <c r="D34" s="418" t="s">
        <v>292</v>
      </c>
      <c r="E34" s="418" t="s">
        <v>293</v>
      </c>
      <c r="F34" s="418" t="s">
        <v>294</v>
      </c>
      <c r="G34" s="418" t="s">
        <v>295</v>
      </c>
    </row>
    <row r="35" spans="1:10" ht="14.25" x14ac:dyDescent="0.3">
      <c r="B35" s="215" t="s">
        <v>5</v>
      </c>
      <c r="C35" s="370">
        <v>0.2</v>
      </c>
      <c r="D35" s="438">
        <v>0.3</v>
      </c>
      <c r="E35" s="369">
        <v>0.3</v>
      </c>
      <c r="F35" s="366">
        <v>0.1</v>
      </c>
      <c r="G35" s="370">
        <v>0.1</v>
      </c>
    </row>
    <row r="36" spans="1:10" ht="14.25" x14ac:dyDescent="0.3">
      <c r="A36" s="536" t="s">
        <v>316</v>
      </c>
      <c r="B36" s="215" t="s">
        <v>312</v>
      </c>
      <c r="C36" s="438">
        <f>0.8</f>
        <v>0.8</v>
      </c>
      <c r="D36" s="366">
        <v>0.7</v>
      </c>
      <c r="E36" s="438">
        <v>0.5</v>
      </c>
      <c r="F36" s="366">
        <v>0.4</v>
      </c>
      <c r="G36" s="366">
        <v>0</v>
      </c>
      <c r="H36" s="298" t="s">
        <v>3</v>
      </c>
    </row>
    <row r="37" spans="1:10" ht="14.25" x14ac:dyDescent="0.3">
      <c r="A37" s="536"/>
      <c r="B37" s="216" t="s">
        <v>313</v>
      </c>
      <c r="C37" s="420">
        <f>C35*C36</f>
        <v>0.16000000000000003</v>
      </c>
      <c r="D37" s="367">
        <f>D35*D36</f>
        <v>0.21</v>
      </c>
      <c r="E37" s="420">
        <f>E35*E36</f>
        <v>0.15</v>
      </c>
      <c r="F37" s="367">
        <f>F35*F36</f>
        <v>4.0000000000000008E-2</v>
      </c>
      <c r="G37" s="367">
        <f>G35*G36</f>
        <v>0</v>
      </c>
      <c r="H37" s="443">
        <f>SUM(C37:G37)</f>
        <v>0.56000000000000005</v>
      </c>
    </row>
    <row r="38" spans="1:10" ht="15.75" customHeight="1" x14ac:dyDescent="0.3">
      <c r="A38" s="536"/>
      <c r="B38" s="217" t="s">
        <v>314</v>
      </c>
      <c r="C38" s="439">
        <f>C37/$H$37</f>
        <v>0.28571428571428575</v>
      </c>
      <c r="D38" s="368">
        <f>D37/$H$37</f>
        <v>0.37499999999999994</v>
      </c>
      <c r="E38" s="439">
        <f>E37/$H$37</f>
        <v>0.26785714285714285</v>
      </c>
      <c r="F38" s="368">
        <f>F37/$H$37</f>
        <v>7.1428571428571438E-2</v>
      </c>
      <c r="G38" s="368">
        <f>G37/$H$37</f>
        <v>0</v>
      </c>
      <c r="H38" s="447" t="s">
        <v>318</v>
      </c>
      <c r="I38" s="448" t="s">
        <v>319</v>
      </c>
      <c r="J38" s="448" t="s">
        <v>320</v>
      </c>
    </row>
    <row r="39" spans="1:10" ht="14.25" x14ac:dyDescent="0.3">
      <c r="B39" s="367" t="s">
        <v>298</v>
      </c>
      <c r="C39" s="318">
        <v>-100</v>
      </c>
      <c r="D39" s="247">
        <v>100</v>
      </c>
      <c r="E39" s="219">
        <v>200</v>
      </c>
      <c r="F39" s="247">
        <v>300</v>
      </c>
      <c r="G39" s="271">
        <v>0</v>
      </c>
      <c r="H39" s="444">
        <f>SUM(C39:G39)</f>
        <v>500</v>
      </c>
      <c r="I39" s="444">
        <f>C$38*C39+D$38*D39+E$38*E39+F$38*F39+G$38*G39</f>
        <v>83.928571428571416</v>
      </c>
      <c r="J39" s="444">
        <f>C$46*C39+D$46*D39+E$46*E39+F$46*F39+G$46*G39</f>
        <v>120.45454545454542</v>
      </c>
    </row>
    <row r="40" spans="1:10" ht="14.25" x14ac:dyDescent="0.3">
      <c r="B40" s="367" t="s">
        <v>299</v>
      </c>
      <c r="C40" s="318">
        <v>250</v>
      </c>
      <c r="D40" s="247">
        <v>200</v>
      </c>
      <c r="E40" s="219">
        <v>150</v>
      </c>
      <c r="F40" s="247">
        <v>-100</v>
      </c>
      <c r="G40" s="271">
        <v>-150</v>
      </c>
      <c r="H40" s="445">
        <f>SUM(C40:G40)</f>
        <v>350</v>
      </c>
      <c r="I40" s="445">
        <f>C$38*C40+D$38*D40+E$38*E40+F$38*F40+G$38*G40</f>
        <v>179.46428571428575</v>
      </c>
      <c r="J40" s="445">
        <f>C$46*C40+D$46*D40+E$46*E40+F$46*F40+G$46*G40</f>
        <v>67.045454545454533</v>
      </c>
    </row>
    <row r="41" spans="1:10" ht="14.25" x14ac:dyDescent="0.3">
      <c r="B41" s="367" t="s">
        <v>300</v>
      </c>
      <c r="C41" s="318">
        <v>500</v>
      </c>
      <c r="D41" s="247">
        <v>250</v>
      </c>
      <c r="E41" s="219">
        <v>100</v>
      </c>
      <c r="F41" s="247">
        <v>-200</v>
      </c>
      <c r="G41" s="271">
        <v>-600</v>
      </c>
      <c r="H41" s="445">
        <f>SUM(C41:G41)</f>
        <v>50</v>
      </c>
      <c r="I41" s="445">
        <f>C$38*C41+D$38*D41+E$38*E41+F$38*F41+G$38*G41</f>
        <v>249.10714285714289</v>
      </c>
      <c r="J41" s="445">
        <f>C$46*C41+D$46*D41+E$46*E41+F$46*F41+G$46*G41</f>
        <v>-32.954545454545482</v>
      </c>
    </row>
    <row r="42" spans="1:10" ht="14.25" x14ac:dyDescent="0.3">
      <c r="B42" s="367" t="s">
        <v>301</v>
      </c>
      <c r="C42" s="320">
        <v>60</v>
      </c>
      <c r="D42" s="319">
        <v>60</v>
      </c>
      <c r="E42" s="220">
        <v>60</v>
      </c>
      <c r="F42" s="319">
        <v>60</v>
      </c>
      <c r="G42" s="441">
        <v>60</v>
      </c>
      <c r="H42" s="446">
        <f>SUM(C42:G42)</f>
        <v>300</v>
      </c>
      <c r="I42" s="446">
        <f>C$38*C42+D$38*D42+E$38*E42+F$38*F42+G$38*G42</f>
        <v>59.999999999999993</v>
      </c>
      <c r="J42" s="446">
        <f>C$46*C42+D$46*D42+E$46*E42+F$46*F42+G$46*G42</f>
        <v>59.999999999999986</v>
      </c>
    </row>
    <row r="43" spans="1:10" ht="14.25" x14ac:dyDescent="0.3">
      <c r="B43" s="215" t="s">
        <v>5</v>
      </c>
      <c r="C43" s="370">
        <v>0.2</v>
      </c>
      <c r="D43" s="438">
        <v>0.3</v>
      </c>
      <c r="E43" s="369">
        <v>0.3</v>
      </c>
      <c r="F43" s="366">
        <v>0.1</v>
      </c>
      <c r="G43" s="370">
        <v>0.1</v>
      </c>
      <c r="H43" s="247"/>
    </row>
    <row r="44" spans="1:10" ht="14.25" x14ac:dyDescent="0.3">
      <c r="A44" s="536" t="s">
        <v>317</v>
      </c>
      <c r="B44" s="215" t="s">
        <v>315</v>
      </c>
      <c r="C44" s="276">
        <f>1-C36</f>
        <v>0.19999999999999996</v>
      </c>
      <c r="D44" s="207">
        <f>1-D36</f>
        <v>0.30000000000000004</v>
      </c>
      <c r="E44" s="440">
        <f>1-E36</f>
        <v>0.5</v>
      </c>
      <c r="F44" s="207">
        <f>1-F36</f>
        <v>0.6</v>
      </c>
      <c r="G44" s="207">
        <f>1-G36</f>
        <v>1</v>
      </c>
      <c r="H44" s="200" t="s">
        <v>3</v>
      </c>
    </row>
    <row r="45" spans="1:10" ht="14.25" x14ac:dyDescent="0.3">
      <c r="A45" s="536"/>
      <c r="B45" s="216" t="s">
        <v>313</v>
      </c>
      <c r="C45" s="297">
        <f>C43*C44</f>
        <v>3.9999999999999994E-2</v>
      </c>
      <c r="D45" s="208">
        <f>D43*D44</f>
        <v>9.0000000000000011E-2</v>
      </c>
      <c r="E45" s="280">
        <f>E43*E44</f>
        <v>0.15</v>
      </c>
      <c r="F45" s="208">
        <f>F43*F44</f>
        <v>0.06</v>
      </c>
      <c r="G45" s="208">
        <f>G43*G44</f>
        <v>0.1</v>
      </c>
      <c r="H45" s="442">
        <f>SUM(C45:G45)</f>
        <v>0.44000000000000006</v>
      </c>
    </row>
    <row r="46" spans="1:10" ht="15" customHeight="1" x14ac:dyDescent="0.3">
      <c r="A46" s="536"/>
      <c r="B46" s="217" t="s">
        <v>314</v>
      </c>
      <c r="C46" s="439">
        <f>C45/$H$45</f>
        <v>9.0909090909090884E-2</v>
      </c>
      <c r="D46" s="368">
        <f>D45/$H$45</f>
        <v>0.20454545454545453</v>
      </c>
      <c r="E46" s="439">
        <f>E45/$H$45</f>
        <v>0.34090909090909083</v>
      </c>
      <c r="F46" s="368">
        <f>F45/$H$45</f>
        <v>0.13636363636363635</v>
      </c>
      <c r="G46" s="368">
        <f>G45/$H$45</f>
        <v>0.22727272727272727</v>
      </c>
    </row>
  </sheetData>
  <mergeCells count="23">
    <mergeCell ref="B22:G22"/>
    <mergeCell ref="J22:O22"/>
    <mergeCell ref="A36:A38"/>
    <mergeCell ref="R14:V14"/>
    <mergeCell ref="A44:A46"/>
    <mergeCell ref="C23:G23"/>
    <mergeCell ref="K23:O23"/>
    <mergeCell ref="AB1:AG1"/>
    <mergeCell ref="AC2:AG2"/>
    <mergeCell ref="Y1:Z1"/>
    <mergeCell ref="B32:G32"/>
    <mergeCell ref="C33:G33"/>
    <mergeCell ref="B1:G1"/>
    <mergeCell ref="J1:O1"/>
    <mergeCell ref="Q1:V1"/>
    <mergeCell ref="R2:V2"/>
    <mergeCell ref="Q13:V13"/>
    <mergeCell ref="C2:G2"/>
    <mergeCell ref="K2:O2"/>
    <mergeCell ref="B12:G12"/>
    <mergeCell ref="C13:G13"/>
    <mergeCell ref="J12:O12"/>
    <mergeCell ref="K13:O1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S66"/>
  <sheetViews>
    <sheetView workbookViewId="0">
      <selection activeCell="I41" sqref="I41"/>
    </sheetView>
  </sheetViews>
  <sheetFormatPr defaultRowHeight="12.75" x14ac:dyDescent="0.25"/>
  <cols>
    <col min="1" max="1" width="12.5703125" customWidth="1"/>
    <col min="8" max="8" width="4.5703125" customWidth="1"/>
    <col min="9" max="9" width="2.7109375" customWidth="1"/>
    <col min="10" max="21" width="2.140625" bestFit="1" customWidth="1"/>
    <col min="22" max="27" width="2.140625" customWidth="1"/>
    <col min="28" max="28" width="7.28515625" bestFit="1" customWidth="1"/>
    <col min="29" max="29" width="7" bestFit="1" customWidth="1"/>
    <col min="30" max="38" width="2.140625" bestFit="1" customWidth="1"/>
    <col min="39" max="39" width="8.140625" bestFit="1" customWidth="1"/>
    <col min="40" max="40" width="7.140625" bestFit="1" customWidth="1"/>
    <col min="41" max="54" width="2.140625" bestFit="1" customWidth="1"/>
    <col min="55" max="55" width="2" bestFit="1" customWidth="1"/>
    <col min="56" max="57" width="2.140625" bestFit="1" customWidth="1"/>
    <col min="58" max="58" width="1.85546875" bestFit="1" customWidth="1"/>
    <col min="59" max="61" width="2.140625" bestFit="1" customWidth="1"/>
    <col min="62" max="62" width="2" bestFit="1" customWidth="1"/>
    <col min="63" max="76" width="2.140625" bestFit="1" customWidth="1"/>
    <col min="77" max="77" width="2" bestFit="1" customWidth="1"/>
    <col min="78" max="94" width="2.140625" bestFit="1" customWidth="1"/>
    <col min="95" max="95" width="4.28515625" customWidth="1"/>
    <col min="96" max="97" width="3.140625" customWidth="1"/>
  </cols>
  <sheetData>
    <row r="1" spans="1:47" x14ac:dyDescent="0.25">
      <c r="A1" s="489"/>
      <c r="B1" s="489"/>
      <c r="C1" s="489"/>
      <c r="D1" s="489"/>
      <c r="E1" s="489"/>
      <c r="F1" s="489"/>
    </row>
    <row r="2" spans="1:47" ht="14.25" x14ac:dyDescent="0.3">
      <c r="A2" s="404"/>
      <c r="B2" s="74"/>
      <c r="C2" s="541" t="s">
        <v>325</v>
      </c>
      <c r="D2" s="541"/>
      <c r="E2" s="541"/>
      <c r="F2" s="541"/>
      <c r="H2" s="464" t="s">
        <v>333</v>
      </c>
      <c r="I2" s="463" t="s">
        <v>334</v>
      </c>
      <c r="J2" s="463"/>
      <c r="K2" s="463"/>
      <c r="L2" s="463"/>
      <c r="M2" s="463"/>
      <c r="N2" s="463"/>
      <c r="O2" s="463"/>
      <c r="P2" s="463"/>
      <c r="Q2" s="463"/>
      <c r="R2" s="463"/>
      <c r="AB2" t="s">
        <v>333</v>
      </c>
      <c r="AC2" s="531" t="s">
        <v>334</v>
      </c>
      <c r="AD2" s="531"/>
      <c r="AE2" s="531"/>
      <c r="AF2" s="531"/>
      <c r="AG2" s="531"/>
      <c r="AH2" s="531"/>
      <c r="AI2" s="531"/>
      <c r="AJ2" s="531"/>
      <c r="AK2" s="531"/>
      <c r="AL2" s="531"/>
      <c r="AP2" t="s">
        <v>336</v>
      </c>
      <c r="AQ2" t="s">
        <v>119</v>
      </c>
    </row>
    <row r="3" spans="1:47" ht="14.25" x14ac:dyDescent="0.3">
      <c r="A3" s="404"/>
      <c r="B3" s="74"/>
      <c r="C3" s="537" t="s">
        <v>323</v>
      </c>
      <c r="D3" s="537"/>
      <c r="E3" s="537" t="s">
        <v>324</v>
      </c>
      <c r="F3" s="537"/>
      <c r="H3" s="3">
        <f>1</f>
        <v>1</v>
      </c>
      <c r="I3" s="1">
        <f t="shared" ref="I3:X19" ca="1" si="0">RANDBETWEEN(0,9)</f>
        <v>1</v>
      </c>
      <c r="J3" s="1">
        <f t="shared" ca="1" si="0"/>
        <v>2</v>
      </c>
      <c r="K3" s="1">
        <f t="shared" ca="1" si="0"/>
        <v>3</v>
      </c>
      <c r="L3" s="1">
        <f t="shared" ca="1" si="0"/>
        <v>9</v>
      </c>
      <c r="M3" s="1">
        <f t="shared" ca="1" si="0"/>
        <v>3</v>
      </c>
      <c r="N3" s="1">
        <f t="shared" ca="1" si="0"/>
        <v>2</v>
      </c>
      <c r="O3" s="1">
        <f t="shared" ca="1" si="0"/>
        <v>4</v>
      </c>
      <c r="P3" s="1">
        <f t="shared" ca="1" si="0"/>
        <v>4</v>
      </c>
      <c r="Q3" s="1">
        <f t="shared" ca="1" si="0"/>
        <v>7</v>
      </c>
      <c r="R3" s="1">
        <f t="shared" ca="1" si="0"/>
        <v>8</v>
      </c>
      <c r="S3" s="1">
        <f t="shared" ca="1" si="0"/>
        <v>5</v>
      </c>
      <c r="T3" s="1">
        <f t="shared" ca="1" si="0"/>
        <v>2</v>
      </c>
      <c r="U3" s="1">
        <f t="shared" ca="1" si="0"/>
        <v>0</v>
      </c>
      <c r="V3" s="1">
        <f t="shared" ca="1" si="0"/>
        <v>0</v>
      </c>
      <c r="W3" s="1">
        <f t="shared" ca="1" si="0"/>
        <v>1</v>
      </c>
      <c r="X3" s="1">
        <f t="shared" ca="1" si="0"/>
        <v>3</v>
      </c>
      <c r="Y3" s="1">
        <f t="shared" ref="V3:AA18" ca="1" si="1">RANDBETWEEN(0,9)</f>
        <v>7</v>
      </c>
      <c r="Z3" s="1">
        <f t="shared" ca="1" si="1"/>
        <v>4</v>
      </c>
      <c r="AA3" s="1">
        <f t="shared" ca="1" si="1"/>
        <v>5</v>
      </c>
      <c r="AB3" s="1">
        <v>1</v>
      </c>
      <c r="AC3" s="1">
        <v>0</v>
      </c>
      <c r="AD3" s="1">
        <v>0</v>
      </c>
      <c r="AE3" s="1">
        <v>4</v>
      </c>
      <c r="AF3" s="1">
        <v>5</v>
      </c>
      <c r="AG3" s="1">
        <v>7</v>
      </c>
      <c r="AH3" s="1">
        <v>6</v>
      </c>
      <c r="AI3" s="1">
        <v>7</v>
      </c>
      <c r="AJ3" s="1">
        <v>4</v>
      </c>
      <c r="AK3" s="1">
        <v>6</v>
      </c>
      <c r="AL3" s="1">
        <v>8</v>
      </c>
      <c r="AM3" s="1">
        <v>8</v>
      </c>
      <c r="AN3" s="1">
        <v>6</v>
      </c>
      <c r="AO3" s="1">
        <v>7</v>
      </c>
      <c r="AP3" s="1"/>
      <c r="AQ3" s="1"/>
      <c r="AR3" s="1"/>
      <c r="AS3" s="1"/>
      <c r="AT3" s="1"/>
      <c r="AU3" s="1"/>
    </row>
    <row r="4" spans="1:47" x14ac:dyDescent="0.25">
      <c r="A4" s="542" t="s">
        <v>326</v>
      </c>
      <c r="B4" s="507" t="s">
        <v>323</v>
      </c>
      <c r="C4" s="458"/>
      <c r="D4" s="362">
        <v>1</v>
      </c>
      <c r="E4" s="458"/>
      <c r="F4" s="362">
        <v>10</v>
      </c>
      <c r="H4" s="3">
        <f>H3+1</f>
        <v>2</v>
      </c>
      <c r="I4" s="1">
        <f t="shared" ca="1" si="0"/>
        <v>1</v>
      </c>
      <c r="J4" s="1">
        <f t="shared" ca="1" si="0"/>
        <v>5</v>
      </c>
      <c r="K4" s="1">
        <f t="shared" ca="1" si="0"/>
        <v>5</v>
      </c>
      <c r="L4" s="1">
        <f t="shared" ca="1" si="0"/>
        <v>1</v>
      </c>
      <c r="M4" s="1">
        <f t="shared" ca="1" si="0"/>
        <v>0</v>
      </c>
      <c r="N4" s="1">
        <f t="shared" ca="1" si="0"/>
        <v>0</v>
      </c>
      <c r="O4" s="1">
        <f t="shared" ca="1" si="0"/>
        <v>5</v>
      </c>
      <c r="P4" s="1">
        <f t="shared" ca="1" si="0"/>
        <v>8</v>
      </c>
      <c r="Q4" s="1">
        <f t="shared" ca="1" si="0"/>
        <v>2</v>
      </c>
      <c r="R4" s="1">
        <f t="shared" ca="1" si="0"/>
        <v>7</v>
      </c>
      <c r="S4" s="1">
        <f t="shared" ca="1" si="0"/>
        <v>6</v>
      </c>
      <c r="T4" s="1">
        <f t="shared" ca="1" si="0"/>
        <v>3</v>
      </c>
      <c r="U4" s="1">
        <f t="shared" ca="1" si="0"/>
        <v>1</v>
      </c>
      <c r="V4" s="1">
        <f t="shared" ca="1" si="1"/>
        <v>7</v>
      </c>
      <c r="W4" s="1">
        <f t="shared" ca="1" si="1"/>
        <v>6</v>
      </c>
      <c r="X4" s="1">
        <f t="shared" ca="1" si="1"/>
        <v>4</v>
      </c>
      <c r="Y4" s="1">
        <f t="shared" ca="1" si="1"/>
        <v>8</v>
      </c>
      <c r="Z4" s="1">
        <f t="shared" ca="1" si="1"/>
        <v>4</v>
      </c>
      <c r="AA4" s="1">
        <f t="shared" ca="1" si="1"/>
        <v>5</v>
      </c>
      <c r="AB4" s="1">
        <v>2</v>
      </c>
      <c r="AC4" s="1">
        <v>1</v>
      </c>
      <c r="AD4" s="1">
        <v>2</v>
      </c>
      <c r="AE4" s="1">
        <v>4</v>
      </c>
      <c r="AF4" s="1">
        <v>3</v>
      </c>
      <c r="AG4" s="1">
        <v>2</v>
      </c>
      <c r="AH4" s="1">
        <v>4</v>
      </c>
      <c r="AI4" s="1">
        <v>4</v>
      </c>
      <c r="AJ4" s="1">
        <v>7</v>
      </c>
      <c r="AK4" s="1">
        <v>6</v>
      </c>
      <c r="AL4" s="1">
        <v>1</v>
      </c>
      <c r="AM4" s="1">
        <v>5</v>
      </c>
      <c r="AN4" s="1">
        <v>2</v>
      </c>
      <c r="AO4" s="1">
        <v>6</v>
      </c>
      <c r="AP4" s="1"/>
      <c r="AQ4" s="1"/>
      <c r="AR4" s="1"/>
      <c r="AS4" s="1"/>
      <c r="AT4" s="1"/>
      <c r="AU4" s="1"/>
    </row>
    <row r="5" spans="1:47" x14ac:dyDescent="0.25">
      <c r="A5" s="542"/>
      <c r="B5" s="507"/>
      <c r="C5" s="132">
        <v>1</v>
      </c>
      <c r="D5" s="460"/>
      <c r="E5" s="132">
        <v>1</v>
      </c>
      <c r="F5" s="460"/>
      <c r="H5" s="3">
        <f t="shared" ref="H5:H19" si="2">H4+1</f>
        <v>3</v>
      </c>
      <c r="I5" s="1">
        <f t="shared" ca="1" si="0"/>
        <v>0</v>
      </c>
      <c r="J5" s="1">
        <f t="shared" ca="1" si="0"/>
        <v>9</v>
      </c>
      <c r="K5" s="1">
        <f t="shared" ca="1" si="0"/>
        <v>1</v>
      </c>
      <c r="L5" s="1">
        <f t="shared" ca="1" si="0"/>
        <v>7</v>
      </c>
      <c r="M5" s="1">
        <f t="shared" ca="1" si="0"/>
        <v>1</v>
      </c>
      <c r="N5" s="1">
        <f t="shared" ca="1" si="0"/>
        <v>7</v>
      </c>
      <c r="O5" s="1">
        <f t="shared" ca="1" si="0"/>
        <v>4</v>
      </c>
      <c r="P5" s="1">
        <f t="shared" ca="1" si="0"/>
        <v>5</v>
      </c>
      <c r="Q5" s="1">
        <f t="shared" ca="1" si="0"/>
        <v>9</v>
      </c>
      <c r="R5" s="1">
        <f t="shared" ca="1" si="0"/>
        <v>4</v>
      </c>
      <c r="S5" s="1">
        <f t="shared" ca="1" si="0"/>
        <v>4</v>
      </c>
      <c r="T5" s="1">
        <f t="shared" ca="1" si="0"/>
        <v>9</v>
      </c>
      <c r="U5" s="1">
        <f t="shared" ca="1" si="0"/>
        <v>4</v>
      </c>
      <c r="V5" s="1">
        <f t="shared" ca="1" si="1"/>
        <v>9</v>
      </c>
      <c r="W5" s="1">
        <f t="shared" ca="1" si="1"/>
        <v>5</v>
      </c>
      <c r="X5" s="1">
        <f t="shared" ca="1" si="1"/>
        <v>9</v>
      </c>
      <c r="Y5" s="1">
        <f t="shared" ca="1" si="1"/>
        <v>2</v>
      </c>
      <c r="Z5" s="1">
        <f t="shared" ca="1" si="1"/>
        <v>9</v>
      </c>
      <c r="AA5" s="1">
        <f t="shared" ca="1" si="1"/>
        <v>0</v>
      </c>
      <c r="AB5" s="1">
        <v>3</v>
      </c>
      <c r="AC5" s="1">
        <v>9</v>
      </c>
      <c r="AD5" s="1">
        <v>8</v>
      </c>
      <c r="AE5" s="1">
        <v>8</v>
      </c>
      <c r="AF5" s="1">
        <v>7</v>
      </c>
      <c r="AG5" s="1">
        <v>4</v>
      </c>
      <c r="AH5" s="1">
        <v>0</v>
      </c>
      <c r="AI5" s="1">
        <v>0</v>
      </c>
      <c r="AJ5" s="1">
        <v>0</v>
      </c>
      <c r="AK5" s="1">
        <v>1</v>
      </c>
      <c r="AL5" s="1">
        <v>5</v>
      </c>
      <c r="AM5" s="1">
        <v>5</v>
      </c>
      <c r="AN5" s="1">
        <v>8</v>
      </c>
      <c r="AO5" s="1">
        <v>9</v>
      </c>
      <c r="AP5" s="1"/>
      <c r="AQ5" s="1"/>
      <c r="AR5" s="1"/>
      <c r="AS5" s="1"/>
      <c r="AT5" s="1"/>
      <c r="AU5" s="1"/>
    </row>
    <row r="6" spans="1:47" x14ac:dyDescent="0.25">
      <c r="A6" s="542"/>
      <c r="B6" s="507" t="s">
        <v>324</v>
      </c>
      <c r="C6" s="458"/>
      <c r="D6" s="362">
        <v>1</v>
      </c>
      <c r="E6" s="458"/>
      <c r="F6" s="362">
        <v>5</v>
      </c>
      <c r="H6" s="3">
        <f t="shared" si="2"/>
        <v>4</v>
      </c>
      <c r="I6" s="1">
        <f t="shared" ca="1" si="0"/>
        <v>9</v>
      </c>
      <c r="J6" s="1">
        <f t="shared" ca="1" si="0"/>
        <v>2</v>
      </c>
      <c r="K6" s="1">
        <f t="shared" ca="1" si="0"/>
        <v>3</v>
      </c>
      <c r="L6" s="1">
        <f t="shared" ca="1" si="0"/>
        <v>9</v>
      </c>
      <c r="M6" s="1">
        <f t="shared" ca="1" si="0"/>
        <v>7</v>
      </c>
      <c r="N6" s="1">
        <f t="shared" ca="1" si="0"/>
        <v>1</v>
      </c>
      <c r="O6" s="1">
        <f t="shared" ca="1" si="0"/>
        <v>1</v>
      </c>
      <c r="P6" s="1">
        <f t="shared" ca="1" si="0"/>
        <v>0</v>
      </c>
      <c r="Q6" s="1">
        <f t="shared" ca="1" si="0"/>
        <v>1</v>
      </c>
      <c r="R6" s="1">
        <f t="shared" ca="1" si="0"/>
        <v>8</v>
      </c>
      <c r="S6" s="1">
        <f t="shared" ca="1" si="0"/>
        <v>1</v>
      </c>
      <c r="T6" s="1">
        <f t="shared" ca="1" si="0"/>
        <v>2</v>
      </c>
      <c r="U6" s="1">
        <f t="shared" ca="1" si="0"/>
        <v>4</v>
      </c>
      <c r="V6" s="1">
        <f t="shared" ca="1" si="1"/>
        <v>1</v>
      </c>
      <c r="W6" s="1">
        <f t="shared" ca="1" si="1"/>
        <v>4</v>
      </c>
      <c r="X6" s="1">
        <f t="shared" ca="1" si="1"/>
        <v>3</v>
      </c>
      <c r="Y6" s="1">
        <f t="shared" ca="1" si="1"/>
        <v>8</v>
      </c>
      <c r="Z6" s="1">
        <f t="shared" ca="1" si="1"/>
        <v>4</v>
      </c>
      <c r="AA6" s="1">
        <f t="shared" ca="1" si="1"/>
        <v>2</v>
      </c>
      <c r="AB6" s="1">
        <v>4</v>
      </c>
      <c r="AC6" s="1">
        <v>8</v>
      </c>
      <c r="AD6" s="1">
        <v>5</v>
      </c>
      <c r="AE6" s="1">
        <v>6</v>
      </c>
      <c r="AF6" s="1">
        <v>9</v>
      </c>
      <c r="AG6" s="1">
        <v>0</v>
      </c>
      <c r="AH6" s="1">
        <v>5</v>
      </c>
      <c r="AI6" s="1">
        <v>7</v>
      </c>
      <c r="AJ6" s="1">
        <v>6</v>
      </c>
      <c r="AK6" s="1">
        <v>6</v>
      </c>
      <c r="AL6" s="1">
        <v>2</v>
      </c>
      <c r="AM6" s="1">
        <v>6</v>
      </c>
      <c r="AN6" s="1">
        <v>2</v>
      </c>
      <c r="AO6" s="1">
        <v>1</v>
      </c>
      <c r="AP6" s="1"/>
      <c r="AQ6" s="1"/>
      <c r="AR6" s="1"/>
      <c r="AS6" s="1"/>
      <c r="AT6" s="1"/>
      <c r="AU6" s="1"/>
    </row>
    <row r="7" spans="1:47" x14ac:dyDescent="0.25">
      <c r="A7" s="542"/>
      <c r="B7" s="507"/>
      <c r="C7" s="132">
        <v>10</v>
      </c>
      <c r="D7" s="460"/>
      <c r="E7" s="132">
        <v>5</v>
      </c>
      <c r="F7" s="460"/>
      <c r="H7" s="3">
        <f t="shared" si="2"/>
        <v>5</v>
      </c>
      <c r="I7" s="1">
        <f t="shared" ca="1" si="0"/>
        <v>5</v>
      </c>
      <c r="J7" s="1">
        <f t="shared" ca="1" si="0"/>
        <v>7</v>
      </c>
      <c r="K7" s="1">
        <f t="shared" ca="1" si="0"/>
        <v>6</v>
      </c>
      <c r="L7" s="1">
        <f t="shared" ca="1" si="0"/>
        <v>0</v>
      </c>
      <c r="M7" s="1">
        <f t="shared" ca="1" si="0"/>
        <v>8</v>
      </c>
      <c r="N7" s="1">
        <f t="shared" ca="1" si="0"/>
        <v>0</v>
      </c>
      <c r="O7" s="1">
        <f t="shared" ca="1" si="0"/>
        <v>7</v>
      </c>
      <c r="P7" s="1">
        <f t="shared" ca="1" si="0"/>
        <v>2</v>
      </c>
      <c r="Q7" s="1">
        <f t="shared" ca="1" si="0"/>
        <v>5</v>
      </c>
      <c r="R7" s="1">
        <f t="shared" ca="1" si="0"/>
        <v>7</v>
      </c>
      <c r="S7" s="1">
        <f t="shared" ca="1" si="0"/>
        <v>5</v>
      </c>
      <c r="T7" s="1">
        <f t="shared" ca="1" si="0"/>
        <v>9</v>
      </c>
      <c r="U7" s="1">
        <f t="shared" ca="1" si="0"/>
        <v>3</v>
      </c>
      <c r="V7" s="1">
        <f t="shared" ca="1" si="1"/>
        <v>4</v>
      </c>
      <c r="W7" s="1">
        <f t="shared" ca="1" si="1"/>
        <v>4</v>
      </c>
      <c r="X7" s="1">
        <f t="shared" ca="1" si="1"/>
        <v>6</v>
      </c>
      <c r="Y7" s="1">
        <f t="shared" ca="1" si="1"/>
        <v>0</v>
      </c>
      <c r="Z7" s="1">
        <f t="shared" ca="1" si="1"/>
        <v>9</v>
      </c>
      <c r="AA7" s="1">
        <f t="shared" ca="1" si="1"/>
        <v>8</v>
      </c>
      <c r="AB7" s="1">
        <v>5</v>
      </c>
      <c r="AC7" s="1">
        <v>2</v>
      </c>
      <c r="AD7" s="1">
        <v>0</v>
      </c>
      <c r="AE7" s="1">
        <v>1</v>
      </c>
      <c r="AF7" s="1">
        <v>8</v>
      </c>
      <c r="AG7" s="1">
        <v>4</v>
      </c>
      <c r="AH7" s="1">
        <v>9</v>
      </c>
      <c r="AI7" s="1">
        <v>6</v>
      </c>
      <c r="AJ7" s="1">
        <v>2</v>
      </c>
      <c r="AK7" s="1">
        <v>7</v>
      </c>
      <c r="AL7" s="1">
        <v>5</v>
      </c>
      <c r="AM7" s="1">
        <v>2</v>
      </c>
      <c r="AN7" s="1">
        <v>5</v>
      </c>
      <c r="AO7" s="1">
        <v>5</v>
      </c>
      <c r="AP7" s="1"/>
      <c r="AQ7" s="1"/>
      <c r="AR7" s="1"/>
      <c r="AS7" s="1"/>
      <c r="AT7" s="1"/>
      <c r="AU7" s="1"/>
    </row>
    <row r="8" spans="1:47" x14ac:dyDescent="0.25">
      <c r="H8" s="3">
        <f t="shared" si="2"/>
        <v>6</v>
      </c>
      <c r="I8" s="1">
        <f t="shared" ca="1" si="0"/>
        <v>0</v>
      </c>
      <c r="J8" s="1">
        <f t="shared" ca="1" si="0"/>
        <v>5</v>
      </c>
      <c r="K8" s="1">
        <f t="shared" ca="1" si="0"/>
        <v>2</v>
      </c>
      <c r="L8" s="1">
        <f t="shared" ca="1" si="0"/>
        <v>4</v>
      </c>
      <c r="M8" s="1">
        <f t="shared" ca="1" si="0"/>
        <v>3</v>
      </c>
      <c r="N8" s="1">
        <f t="shared" ca="1" si="0"/>
        <v>8</v>
      </c>
      <c r="O8" s="1">
        <f t="shared" ca="1" si="0"/>
        <v>8</v>
      </c>
      <c r="P8" s="1">
        <f t="shared" ca="1" si="0"/>
        <v>0</v>
      </c>
      <c r="Q8" s="1">
        <f t="shared" ca="1" si="0"/>
        <v>1</v>
      </c>
      <c r="R8" s="1">
        <f t="shared" ca="1" si="0"/>
        <v>1</v>
      </c>
      <c r="S8" s="1">
        <f t="shared" ca="1" si="0"/>
        <v>5</v>
      </c>
      <c r="T8" s="1">
        <f t="shared" ca="1" si="0"/>
        <v>3</v>
      </c>
      <c r="U8" s="1">
        <f t="shared" ca="1" si="0"/>
        <v>1</v>
      </c>
      <c r="V8" s="1">
        <f t="shared" ca="1" si="1"/>
        <v>7</v>
      </c>
      <c r="W8" s="1">
        <f t="shared" ca="1" si="1"/>
        <v>2</v>
      </c>
      <c r="X8" s="1">
        <f t="shared" ca="1" si="1"/>
        <v>6</v>
      </c>
      <c r="Y8" s="1">
        <f t="shared" ca="1" si="1"/>
        <v>4</v>
      </c>
      <c r="Z8" s="1">
        <f t="shared" ca="1" si="1"/>
        <v>5</v>
      </c>
      <c r="AA8" s="1">
        <f t="shared" ca="1" si="1"/>
        <v>0</v>
      </c>
      <c r="AB8" s="1">
        <v>6</v>
      </c>
      <c r="AC8" s="1">
        <v>1</v>
      </c>
      <c r="AD8" s="1">
        <v>3</v>
      </c>
      <c r="AE8" s="1">
        <v>0</v>
      </c>
      <c r="AF8" s="1">
        <v>7</v>
      </c>
      <c r="AG8" s="1">
        <v>1</v>
      </c>
      <c r="AH8" s="1">
        <v>8</v>
      </c>
      <c r="AI8" s="1">
        <v>6</v>
      </c>
      <c r="AJ8" s="1">
        <v>5</v>
      </c>
      <c r="AK8" s="1">
        <v>4</v>
      </c>
      <c r="AL8" s="1">
        <v>8</v>
      </c>
      <c r="AM8" s="1">
        <v>0</v>
      </c>
      <c r="AN8" s="1">
        <v>1</v>
      </c>
      <c r="AO8" s="1">
        <v>1</v>
      </c>
      <c r="AP8" s="1"/>
      <c r="AQ8" s="1"/>
      <c r="AR8" s="1"/>
      <c r="AS8" s="1"/>
      <c r="AT8" s="1"/>
      <c r="AU8" s="1"/>
    </row>
    <row r="9" spans="1:47" x14ac:dyDescent="0.25">
      <c r="H9" s="3">
        <f t="shared" si="2"/>
        <v>7</v>
      </c>
      <c r="I9" s="1">
        <f t="shared" ca="1" si="0"/>
        <v>7</v>
      </c>
      <c r="J9" s="1">
        <f t="shared" ca="1" si="0"/>
        <v>2</v>
      </c>
      <c r="K9" s="1">
        <f t="shared" ca="1" si="0"/>
        <v>0</v>
      </c>
      <c r="L9" s="1">
        <f t="shared" ca="1" si="0"/>
        <v>1</v>
      </c>
      <c r="M9" s="1">
        <f t="shared" ca="1" si="0"/>
        <v>8</v>
      </c>
      <c r="N9" s="1">
        <f t="shared" ca="1" si="0"/>
        <v>8</v>
      </c>
      <c r="O9" s="1">
        <f t="shared" ca="1" si="0"/>
        <v>7</v>
      </c>
      <c r="P9" s="1">
        <f t="shared" ca="1" si="0"/>
        <v>2</v>
      </c>
      <c r="Q9" s="1">
        <f t="shared" ca="1" si="0"/>
        <v>2</v>
      </c>
      <c r="R9" s="1">
        <f t="shared" ca="1" si="0"/>
        <v>5</v>
      </c>
      <c r="S9" s="1">
        <f t="shared" ca="1" si="0"/>
        <v>0</v>
      </c>
      <c r="T9" s="1">
        <f t="shared" ca="1" si="0"/>
        <v>6</v>
      </c>
      <c r="U9" s="1">
        <f t="shared" ca="1" si="0"/>
        <v>7</v>
      </c>
      <c r="V9" s="1">
        <f t="shared" ca="1" si="1"/>
        <v>8</v>
      </c>
      <c r="W9" s="1">
        <f t="shared" ca="1" si="1"/>
        <v>2</v>
      </c>
      <c r="X9" s="1">
        <f t="shared" ca="1" si="1"/>
        <v>4</v>
      </c>
      <c r="Y9" s="1">
        <f t="shared" ca="1" si="1"/>
        <v>4</v>
      </c>
      <c r="Z9" s="1">
        <f t="shared" ca="1" si="1"/>
        <v>3</v>
      </c>
      <c r="AA9" s="1">
        <f t="shared" ca="1" si="1"/>
        <v>6</v>
      </c>
      <c r="AB9" s="1">
        <v>7</v>
      </c>
      <c r="AC9" s="1">
        <v>8</v>
      </c>
      <c r="AD9" s="1">
        <v>7</v>
      </c>
      <c r="AE9" s="1">
        <v>7</v>
      </c>
      <c r="AF9" s="1">
        <v>7</v>
      </c>
      <c r="AG9" s="1">
        <v>8</v>
      </c>
      <c r="AH9" s="1">
        <v>0</v>
      </c>
      <c r="AI9" s="1">
        <v>7</v>
      </c>
      <c r="AJ9" s="1">
        <v>8</v>
      </c>
      <c r="AK9" s="1">
        <v>9</v>
      </c>
      <c r="AL9" s="1">
        <v>3</v>
      </c>
      <c r="AM9" s="1">
        <v>5</v>
      </c>
      <c r="AN9" s="1">
        <v>9</v>
      </c>
      <c r="AO9" s="1">
        <v>8</v>
      </c>
      <c r="AP9" s="1"/>
      <c r="AQ9" s="1"/>
      <c r="AR9" s="1"/>
      <c r="AS9" s="1"/>
      <c r="AT9" s="1"/>
      <c r="AU9" s="1"/>
    </row>
    <row r="10" spans="1:47" x14ac:dyDescent="0.25">
      <c r="H10" s="3">
        <f t="shared" si="2"/>
        <v>8</v>
      </c>
      <c r="I10" s="1">
        <f t="shared" ca="1" si="0"/>
        <v>6</v>
      </c>
      <c r="J10" s="1">
        <f t="shared" ca="1" si="0"/>
        <v>2</v>
      </c>
      <c r="K10" s="1">
        <f t="shared" ca="1" si="0"/>
        <v>0</v>
      </c>
      <c r="L10" s="1">
        <f t="shared" ca="1" si="0"/>
        <v>3</v>
      </c>
      <c r="M10" s="1">
        <f t="shared" ca="1" si="0"/>
        <v>5</v>
      </c>
      <c r="N10" s="1">
        <f t="shared" ca="1" si="0"/>
        <v>8</v>
      </c>
      <c r="O10" s="1">
        <f t="shared" ca="1" si="0"/>
        <v>0</v>
      </c>
      <c r="P10" s="1">
        <f t="shared" ca="1" si="0"/>
        <v>6</v>
      </c>
      <c r="Q10" s="1">
        <f t="shared" ca="1" si="0"/>
        <v>8</v>
      </c>
      <c r="R10" s="1">
        <f t="shared" ca="1" si="0"/>
        <v>2</v>
      </c>
      <c r="S10" s="1">
        <f t="shared" ca="1" si="0"/>
        <v>4</v>
      </c>
      <c r="T10" s="1">
        <f t="shared" ca="1" si="0"/>
        <v>8</v>
      </c>
      <c r="U10" s="1">
        <f t="shared" ca="1" si="0"/>
        <v>9</v>
      </c>
      <c r="V10" s="1">
        <f t="shared" ca="1" si="1"/>
        <v>0</v>
      </c>
      <c r="W10" s="1">
        <f t="shared" ca="1" si="1"/>
        <v>7</v>
      </c>
      <c r="X10" s="1">
        <f t="shared" ca="1" si="1"/>
        <v>9</v>
      </c>
      <c r="Y10" s="1">
        <f t="shared" ca="1" si="1"/>
        <v>7</v>
      </c>
      <c r="Z10" s="1">
        <f t="shared" ca="1" si="1"/>
        <v>9</v>
      </c>
      <c r="AA10" s="1">
        <f t="shared" ca="1" si="1"/>
        <v>8</v>
      </c>
      <c r="AB10" s="1">
        <v>8</v>
      </c>
      <c r="AC10" s="1">
        <v>4</v>
      </c>
      <c r="AD10" s="1">
        <v>6</v>
      </c>
      <c r="AE10" s="1">
        <v>6</v>
      </c>
      <c r="AF10" s="1">
        <v>1</v>
      </c>
      <c r="AG10" s="1">
        <v>0</v>
      </c>
      <c r="AH10" s="1">
        <v>8</v>
      </c>
      <c r="AI10" s="1">
        <v>3</v>
      </c>
      <c r="AJ10" s="1">
        <v>4</v>
      </c>
      <c r="AK10" s="1">
        <v>1</v>
      </c>
      <c r="AL10" s="1">
        <v>8</v>
      </c>
      <c r="AM10" s="1">
        <v>1</v>
      </c>
      <c r="AN10" s="1">
        <v>6</v>
      </c>
      <c r="AO10" s="1">
        <v>5</v>
      </c>
      <c r="AP10" s="1"/>
      <c r="AQ10" s="1"/>
      <c r="AR10" s="1"/>
      <c r="AS10" s="1"/>
      <c r="AT10" s="1"/>
      <c r="AU10" s="1"/>
    </row>
    <row r="11" spans="1:47" x14ac:dyDescent="0.25">
      <c r="H11" s="3">
        <f t="shared" si="2"/>
        <v>9</v>
      </c>
      <c r="I11" s="1">
        <f t="shared" ca="1" si="0"/>
        <v>5</v>
      </c>
      <c r="J11" s="1">
        <f t="shared" ca="1" si="0"/>
        <v>0</v>
      </c>
      <c r="K11" s="1">
        <f t="shared" ca="1" si="0"/>
        <v>3</v>
      </c>
      <c r="L11" s="1">
        <f t="shared" ca="1" si="0"/>
        <v>7</v>
      </c>
      <c r="M11" s="1">
        <f t="shared" ca="1" si="0"/>
        <v>0</v>
      </c>
      <c r="N11" s="1">
        <f t="shared" ca="1" si="0"/>
        <v>3</v>
      </c>
      <c r="O11" s="1">
        <f t="shared" ca="1" si="0"/>
        <v>5</v>
      </c>
      <c r="P11" s="1">
        <f t="shared" ca="1" si="0"/>
        <v>6</v>
      </c>
      <c r="Q11" s="1">
        <f t="shared" ca="1" si="0"/>
        <v>3</v>
      </c>
      <c r="R11" s="1">
        <f t="shared" ca="1" si="0"/>
        <v>5</v>
      </c>
      <c r="S11" s="1">
        <f t="shared" ca="1" si="0"/>
        <v>6</v>
      </c>
      <c r="T11" s="1">
        <f t="shared" ca="1" si="0"/>
        <v>0</v>
      </c>
      <c r="U11" s="1">
        <f t="shared" ca="1" si="0"/>
        <v>2</v>
      </c>
      <c r="V11" s="1">
        <f t="shared" ca="1" si="1"/>
        <v>1</v>
      </c>
      <c r="W11" s="1">
        <f t="shared" ca="1" si="1"/>
        <v>1</v>
      </c>
      <c r="X11" s="1">
        <f t="shared" ca="1" si="1"/>
        <v>9</v>
      </c>
      <c r="Y11" s="1">
        <f t="shared" ca="1" si="1"/>
        <v>3</v>
      </c>
      <c r="Z11" s="1">
        <f t="shared" ca="1" si="1"/>
        <v>4</v>
      </c>
      <c r="AA11" s="1">
        <f t="shared" ca="1" si="1"/>
        <v>2</v>
      </c>
      <c r="AB11" s="1">
        <v>9</v>
      </c>
      <c r="AC11" s="1">
        <v>9</v>
      </c>
      <c r="AD11" s="1">
        <v>5</v>
      </c>
      <c r="AE11" s="1">
        <v>2</v>
      </c>
      <c r="AF11" s="1">
        <v>9</v>
      </c>
      <c r="AG11" s="1">
        <v>3</v>
      </c>
      <c r="AH11" s="1">
        <v>0</v>
      </c>
      <c r="AI11" s="1">
        <v>0</v>
      </c>
      <c r="AJ11" s="1">
        <v>4</v>
      </c>
      <c r="AK11" s="1">
        <v>7</v>
      </c>
      <c r="AL11" s="1">
        <v>7</v>
      </c>
      <c r="AM11" s="1">
        <v>6</v>
      </c>
      <c r="AN11" s="1">
        <v>1</v>
      </c>
      <c r="AO11" s="1">
        <v>8</v>
      </c>
      <c r="AP11" s="1"/>
      <c r="AQ11" s="1"/>
      <c r="AR11" s="1"/>
      <c r="AS11" s="1"/>
      <c r="AT11" s="1"/>
      <c r="AU11" s="1"/>
    </row>
    <row r="12" spans="1:47" x14ac:dyDescent="0.25">
      <c r="D12" s="459"/>
      <c r="H12" s="3">
        <f t="shared" si="2"/>
        <v>10</v>
      </c>
      <c r="I12" s="1">
        <f t="shared" ca="1" si="0"/>
        <v>3</v>
      </c>
      <c r="J12" s="1">
        <f t="shared" ca="1" si="0"/>
        <v>7</v>
      </c>
      <c r="K12" s="1">
        <f t="shared" ca="1" si="0"/>
        <v>1</v>
      </c>
      <c r="L12" s="1">
        <f t="shared" ca="1" si="0"/>
        <v>3</v>
      </c>
      <c r="M12" s="1">
        <f t="shared" ca="1" si="0"/>
        <v>9</v>
      </c>
      <c r="N12" s="1">
        <f t="shared" ca="1" si="0"/>
        <v>3</v>
      </c>
      <c r="O12" s="1">
        <f t="shared" ca="1" si="0"/>
        <v>2</v>
      </c>
      <c r="P12" s="1">
        <f t="shared" ca="1" si="0"/>
        <v>3</v>
      </c>
      <c r="Q12" s="1">
        <f t="shared" ca="1" si="0"/>
        <v>6</v>
      </c>
      <c r="R12" s="1">
        <f t="shared" ca="1" si="0"/>
        <v>8</v>
      </c>
      <c r="S12" s="1">
        <f t="shared" ca="1" si="0"/>
        <v>5</v>
      </c>
      <c r="T12" s="1">
        <f t="shared" ca="1" si="0"/>
        <v>2</v>
      </c>
      <c r="U12" s="1">
        <f t="shared" ca="1" si="0"/>
        <v>3</v>
      </c>
      <c r="V12" s="1">
        <f t="shared" ca="1" si="1"/>
        <v>8</v>
      </c>
      <c r="W12" s="1">
        <f t="shared" ca="1" si="1"/>
        <v>6</v>
      </c>
      <c r="X12" s="1">
        <f t="shared" ca="1" si="1"/>
        <v>7</v>
      </c>
      <c r="Y12" s="1">
        <f t="shared" ca="1" si="1"/>
        <v>1</v>
      </c>
      <c r="Z12" s="1">
        <f t="shared" ca="1" si="1"/>
        <v>2</v>
      </c>
      <c r="AA12" s="1">
        <f t="shared" ca="1" si="1"/>
        <v>0</v>
      </c>
      <c r="AB12" s="1">
        <v>10</v>
      </c>
      <c r="AC12" s="1">
        <v>5</v>
      </c>
      <c r="AD12" s="1">
        <v>7</v>
      </c>
      <c r="AE12" s="1">
        <v>9</v>
      </c>
      <c r="AF12" s="1">
        <v>8</v>
      </c>
      <c r="AG12" s="1">
        <v>0</v>
      </c>
      <c r="AH12" s="1">
        <v>1</v>
      </c>
      <c r="AI12" s="1">
        <v>7</v>
      </c>
      <c r="AJ12" s="1">
        <v>3</v>
      </c>
      <c r="AK12" s="1">
        <v>5</v>
      </c>
      <c r="AL12" s="1">
        <v>2</v>
      </c>
      <c r="AM12" s="1">
        <v>7</v>
      </c>
      <c r="AN12" s="1">
        <v>4</v>
      </c>
      <c r="AO12" s="1">
        <v>7</v>
      </c>
      <c r="AP12" s="1"/>
      <c r="AQ12" s="1"/>
      <c r="AR12" s="1"/>
      <c r="AS12" s="1"/>
      <c r="AT12" s="1"/>
      <c r="AU12" s="1"/>
    </row>
    <row r="13" spans="1:47" x14ac:dyDescent="0.25">
      <c r="H13" s="3">
        <f t="shared" si="2"/>
        <v>11</v>
      </c>
      <c r="I13" s="1">
        <f t="shared" ca="1" si="0"/>
        <v>6</v>
      </c>
      <c r="J13" s="1">
        <f t="shared" ca="1" si="0"/>
        <v>0</v>
      </c>
      <c r="K13" s="1">
        <f t="shared" ca="1" si="0"/>
        <v>8</v>
      </c>
      <c r="L13" s="1">
        <f t="shared" ca="1" si="0"/>
        <v>8</v>
      </c>
      <c r="M13" s="1">
        <f t="shared" ca="1" si="0"/>
        <v>3</v>
      </c>
      <c r="N13" s="1">
        <f t="shared" ca="1" si="0"/>
        <v>1</v>
      </c>
      <c r="O13" s="1">
        <f t="shared" ca="1" si="0"/>
        <v>7</v>
      </c>
      <c r="P13" s="1">
        <f t="shared" ca="1" si="0"/>
        <v>8</v>
      </c>
      <c r="Q13" s="1">
        <f t="shared" ca="1" si="0"/>
        <v>2</v>
      </c>
      <c r="R13" s="1">
        <f t="shared" ca="1" si="0"/>
        <v>2</v>
      </c>
      <c r="S13" s="1">
        <f t="shared" ca="1" si="0"/>
        <v>1</v>
      </c>
      <c r="T13" s="1">
        <f t="shared" ca="1" si="0"/>
        <v>8</v>
      </c>
      <c r="U13" s="1">
        <f t="shared" ca="1" si="0"/>
        <v>6</v>
      </c>
      <c r="V13" s="1">
        <f t="shared" ca="1" si="1"/>
        <v>0</v>
      </c>
      <c r="W13" s="1">
        <f t="shared" ca="1" si="1"/>
        <v>8</v>
      </c>
      <c r="X13" s="1">
        <f t="shared" ca="1" si="1"/>
        <v>1</v>
      </c>
      <c r="Y13" s="1">
        <f t="shared" ca="1" si="1"/>
        <v>4</v>
      </c>
      <c r="Z13" s="1">
        <f t="shared" ca="1" si="1"/>
        <v>7</v>
      </c>
      <c r="AA13" s="1">
        <f t="shared" ca="1" si="1"/>
        <v>5</v>
      </c>
      <c r="AB13" s="1">
        <v>11</v>
      </c>
      <c r="AC13" s="1">
        <v>0</v>
      </c>
      <c r="AD13" s="1">
        <v>7</v>
      </c>
      <c r="AE13" s="1">
        <v>1</v>
      </c>
      <c r="AF13" s="1">
        <v>3</v>
      </c>
      <c r="AG13" s="1">
        <v>1</v>
      </c>
      <c r="AH13" s="1">
        <v>8</v>
      </c>
      <c r="AI13" s="1">
        <v>6</v>
      </c>
      <c r="AJ13" s="1">
        <v>4</v>
      </c>
      <c r="AK13" s="1">
        <v>6</v>
      </c>
      <c r="AL13" s="1">
        <v>0</v>
      </c>
      <c r="AM13" s="1">
        <v>6</v>
      </c>
      <c r="AN13" s="1">
        <v>9</v>
      </c>
      <c r="AO13" s="1">
        <v>7</v>
      </c>
      <c r="AP13" s="1"/>
      <c r="AQ13" s="1"/>
      <c r="AR13" s="1"/>
      <c r="AS13" s="1"/>
      <c r="AT13" s="1"/>
      <c r="AU13" s="1"/>
    </row>
    <row r="14" spans="1:47" x14ac:dyDescent="0.25">
      <c r="H14" s="3">
        <f t="shared" si="2"/>
        <v>12</v>
      </c>
      <c r="I14" s="1">
        <f t="shared" ca="1" si="0"/>
        <v>1</v>
      </c>
      <c r="J14" s="1">
        <f t="shared" ca="1" si="0"/>
        <v>8</v>
      </c>
      <c r="K14" s="1">
        <f t="shared" ca="1" si="0"/>
        <v>3</v>
      </c>
      <c r="L14" s="1">
        <f t="shared" ca="1" si="0"/>
        <v>0</v>
      </c>
      <c r="M14" s="1">
        <f t="shared" ca="1" si="0"/>
        <v>0</v>
      </c>
      <c r="N14" s="1">
        <f t="shared" ca="1" si="0"/>
        <v>9</v>
      </c>
      <c r="O14" s="1">
        <f t="shared" ca="1" si="0"/>
        <v>2</v>
      </c>
      <c r="P14" s="1">
        <f t="shared" ca="1" si="0"/>
        <v>5</v>
      </c>
      <c r="Q14" s="1">
        <f t="shared" ca="1" si="0"/>
        <v>8</v>
      </c>
      <c r="R14" s="1">
        <f t="shared" ca="1" si="0"/>
        <v>0</v>
      </c>
      <c r="S14" s="1">
        <f t="shared" ca="1" si="0"/>
        <v>7</v>
      </c>
      <c r="T14" s="1">
        <f t="shared" ca="1" si="0"/>
        <v>2</v>
      </c>
      <c r="U14" s="1">
        <f t="shared" ca="1" si="0"/>
        <v>4</v>
      </c>
      <c r="V14" s="1">
        <f t="shared" ca="1" si="1"/>
        <v>4</v>
      </c>
      <c r="W14" s="1">
        <f t="shared" ca="1" si="1"/>
        <v>1</v>
      </c>
      <c r="X14" s="1">
        <f t="shared" ca="1" si="1"/>
        <v>4</v>
      </c>
      <c r="Y14" s="1">
        <f t="shared" ca="1" si="1"/>
        <v>4</v>
      </c>
      <c r="Z14" s="1">
        <f t="shared" ca="1" si="1"/>
        <v>9</v>
      </c>
      <c r="AA14" s="1">
        <f t="shared" ca="1" si="1"/>
        <v>3</v>
      </c>
      <c r="AB14" s="1">
        <v>12</v>
      </c>
      <c r="AC14" s="1">
        <v>5</v>
      </c>
      <c r="AD14" s="1">
        <v>8</v>
      </c>
      <c r="AE14" s="1">
        <v>7</v>
      </c>
      <c r="AF14" s="1">
        <v>1</v>
      </c>
      <c r="AG14" s="1">
        <v>3</v>
      </c>
      <c r="AH14" s="1">
        <v>1</v>
      </c>
      <c r="AI14" s="1">
        <v>0</v>
      </c>
      <c r="AJ14" s="1">
        <v>8</v>
      </c>
      <c r="AK14" s="1">
        <v>5</v>
      </c>
      <c r="AL14" s="1">
        <v>1</v>
      </c>
      <c r="AM14" s="1">
        <v>4</v>
      </c>
      <c r="AN14" s="1">
        <v>7</v>
      </c>
      <c r="AO14" s="1">
        <v>9</v>
      </c>
      <c r="AP14" s="1"/>
      <c r="AQ14" s="1"/>
      <c r="AR14" s="1"/>
      <c r="AS14" s="1"/>
      <c r="AT14" s="1"/>
      <c r="AU14" s="1"/>
    </row>
    <row r="15" spans="1:47" ht="14.25" x14ac:dyDescent="0.3">
      <c r="A15" s="507" t="s">
        <v>2</v>
      </c>
      <c r="B15" s="507"/>
      <c r="C15" s="507"/>
      <c r="D15" s="507"/>
      <c r="E15" s="507"/>
      <c r="F15" s="507"/>
      <c r="H15" s="3">
        <f t="shared" si="2"/>
        <v>13</v>
      </c>
      <c r="I15" s="1">
        <f t="shared" ca="1" si="0"/>
        <v>2</v>
      </c>
      <c r="J15" s="1">
        <f t="shared" ca="1" si="0"/>
        <v>9</v>
      </c>
      <c r="K15" s="1">
        <f t="shared" ca="1" si="0"/>
        <v>8</v>
      </c>
      <c r="L15" s="1">
        <f t="shared" ca="1" si="0"/>
        <v>5</v>
      </c>
      <c r="M15" s="1">
        <f t="shared" ca="1" si="0"/>
        <v>6</v>
      </c>
      <c r="N15" s="1">
        <f t="shared" ca="1" si="0"/>
        <v>7</v>
      </c>
      <c r="O15" s="1">
        <f t="shared" ca="1" si="0"/>
        <v>6</v>
      </c>
      <c r="P15" s="1">
        <f t="shared" ca="1" si="0"/>
        <v>7</v>
      </c>
      <c r="Q15" s="1">
        <f t="shared" ca="1" si="0"/>
        <v>0</v>
      </c>
      <c r="R15" s="1">
        <f t="shared" ca="1" si="0"/>
        <v>7</v>
      </c>
      <c r="S15" s="1">
        <f t="shared" ca="1" si="0"/>
        <v>6</v>
      </c>
      <c r="T15" s="1">
        <f t="shared" ca="1" si="0"/>
        <v>0</v>
      </c>
      <c r="U15" s="1">
        <f t="shared" ca="1" si="0"/>
        <v>8</v>
      </c>
      <c r="V15" s="1">
        <f t="shared" ca="1" si="1"/>
        <v>7</v>
      </c>
      <c r="W15" s="1">
        <f t="shared" ca="1" si="1"/>
        <v>2</v>
      </c>
      <c r="X15" s="1">
        <f t="shared" ca="1" si="1"/>
        <v>3</v>
      </c>
      <c r="Y15" s="1">
        <f t="shared" ca="1" si="1"/>
        <v>3</v>
      </c>
      <c r="Z15" s="1">
        <f t="shared" ca="1" si="1"/>
        <v>0</v>
      </c>
      <c r="AA15" s="1">
        <f t="shared" ca="1" si="1"/>
        <v>1</v>
      </c>
      <c r="AB15" s="1">
        <v>13</v>
      </c>
      <c r="AC15" s="1">
        <v>2</v>
      </c>
      <c r="AD15" s="1">
        <v>6</v>
      </c>
      <c r="AE15" s="1">
        <v>7</v>
      </c>
      <c r="AF15" s="1">
        <v>3</v>
      </c>
      <c r="AG15" s="1">
        <v>4</v>
      </c>
      <c r="AH15" s="1">
        <v>4</v>
      </c>
      <c r="AI15" s="1">
        <v>6</v>
      </c>
      <c r="AJ15" s="1">
        <v>9</v>
      </c>
      <c r="AK15" s="1">
        <v>0</v>
      </c>
      <c r="AL15" s="1">
        <v>5</v>
      </c>
      <c r="AM15" s="1">
        <v>1</v>
      </c>
      <c r="AN15" s="1">
        <v>5</v>
      </c>
      <c r="AO15" s="1">
        <v>2</v>
      </c>
      <c r="AP15" s="1"/>
      <c r="AQ15" s="1"/>
      <c r="AR15" s="1"/>
      <c r="AS15" s="1"/>
      <c r="AT15" s="1"/>
      <c r="AU15" s="1"/>
    </row>
    <row r="16" spans="1:47" x14ac:dyDescent="0.25">
      <c r="A16" s="404"/>
      <c r="B16" s="74"/>
      <c r="C16" s="538" t="s">
        <v>331</v>
      </c>
      <c r="D16" s="538"/>
      <c r="E16" s="538"/>
      <c r="F16" s="538"/>
      <c r="H16" s="3">
        <f t="shared" si="2"/>
        <v>14</v>
      </c>
      <c r="I16" s="1">
        <f t="shared" ca="1" si="0"/>
        <v>5</v>
      </c>
      <c r="J16" s="1">
        <f t="shared" ca="1" si="0"/>
        <v>0</v>
      </c>
      <c r="K16" s="1">
        <f t="shared" ca="1" si="0"/>
        <v>9</v>
      </c>
      <c r="L16" s="1">
        <f t="shared" ca="1" si="0"/>
        <v>1</v>
      </c>
      <c r="M16" s="1">
        <f t="shared" ca="1" si="0"/>
        <v>9</v>
      </c>
      <c r="N16" s="1">
        <f t="shared" ca="1" si="0"/>
        <v>4</v>
      </c>
      <c r="O16" s="1">
        <f t="shared" ca="1" si="0"/>
        <v>9</v>
      </c>
      <c r="P16" s="1">
        <f t="shared" ca="1" si="0"/>
        <v>8</v>
      </c>
      <c r="Q16" s="1">
        <f t="shared" ca="1" si="0"/>
        <v>4</v>
      </c>
      <c r="R16" s="1">
        <f t="shared" ca="1" si="0"/>
        <v>7</v>
      </c>
      <c r="S16" s="1">
        <f t="shared" ca="1" si="0"/>
        <v>5</v>
      </c>
      <c r="T16" s="1">
        <f t="shared" ca="1" si="0"/>
        <v>5</v>
      </c>
      <c r="U16" s="1">
        <f t="shared" ca="1" si="0"/>
        <v>6</v>
      </c>
      <c r="V16" s="1">
        <f t="shared" ca="1" si="1"/>
        <v>2</v>
      </c>
      <c r="W16" s="1">
        <f t="shared" ca="1" si="1"/>
        <v>0</v>
      </c>
      <c r="X16" s="1">
        <f t="shared" ca="1" si="1"/>
        <v>5</v>
      </c>
      <c r="Y16" s="1">
        <f t="shared" ca="1" si="1"/>
        <v>8</v>
      </c>
      <c r="Z16" s="1">
        <f t="shared" ca="1" si="1"/>
        <v>8</v>
      </c>
      <c r="AA16" s="1">
        <f t="shared" ca="1" si="1"/>
        <v>8</v>
      </c>
      <c r="AB16" s="1">
        <v>14</v>
      </c>
      <c r="AC16" s="1">
        <v>9</v>
      </c>
      <c r="AD16" s="1">
        <v>0</v>
      </c>
      <c r="AE16" s="1">
        <v>3</v>
      </c>
      <c r="AF16" s="1">
        <v>8</v>
      </c>
      <c r="AG16" s="1">
        <v>4</v>
      </c>
      <c r="AH16" s="1">
        <v>9</v>
      </c>
      <c r="AI16" s="1">
        <v>1</v>
      </c>
      <c r="AJ16" s="1">
        <v>5</v>
      </c>
      <c r="AK16" s="1">
        <v>5</v>
      </c>
      <c r="AL16" s="1">
        <v>6</v>
      </c>
      <c r="AM16" s="1">
        <v>9</v>
      </c>
      <c r="AN16" s="1">
        <v>5</v>
      </c>
      <c r="AO16" s="1">
        <v>6</v>
      </c>
      <c r="AP16" s="1"/>
      <c r="AQ16" s="1"/>
      <c r="AR16" s="1"/>
      <c r="AS16" s="1"/>
      <c r="AT16" s="1"/>
      <c r="AU16" s="1"/>
    </row>
    <row r="17" spans="1:97" ht="14.25" x14ac:dyDescent="0.3">
      <c r="A17" s="404"/>
      <c r="B17" s="74"/>
      <c r="C17" s="130" t="s">
        <v>328</v>
      </c>
      <c r="D17" s="130" t="s">
        <v>329</v>
      </c>
      <c r="E17" s="130" t="s">
        <v>330</v>
      </c>
      <c r="F17" s="130" t="s">
        <v>327</v>
      </c>
      <c r="H17" s="3">
        <f t="shared" si="2"/>
        <v>15</v>
      </c>
      <c r="I17" s="1">
        <f t="shared" ca="1" si="0"/>
        <v>2</v>
      </c>
      <c r="J17" s="1">
        <f t="shared" ca="1" si="0"/>
        <v>7</v>
      </c>
      <c r="K17" s="1">
        <f t="shared" ca="1" si="0"/>
        <v>2</v>
      </c>
      <c r="L17" s="1">
        <f t="shared" ca="1" si="0"/>
        <v>5</v>
      </c>
      <c r="M17" s="1">
        <f t="shared" ca="1" si="0"/>
        <v>5</v>
      </c>
      <c r="N17" s="1">
        <f t="shared" ca="1" si="0"/>
        <v>6</v>
      </c>
      <c r="O17" s="1">
        <f t="shared" ca="1" si="0"/>
        <v>2</v>
      </c>
      <c r="P17" s="1">
        <f t="shared" ca="1" si="0"/>
        <v>8</v>
      </c>
      <c r="Q17" s="1">
        <f t="shared" ca="1" si="0"/>
        <v>5</v>
      </c>
      <c r="R17" s="1">
        <f t="shared" ca="1" si="0"/>
        <v>4</v>
      </c>
      <c r="S17" s="1">
        <f t="shared" ca="1" si="0"/>
        <v>9</v>
      </c>
      <c r="T17" s="1">
        <f t="shared" ca="1" si="0"/>
        <v>1</v>
      </c>
      <c r="U17" s="1">
        <f t="shared" ca="1" si="0"/>
        <v>5</v>
      </c>
      <c r="V17" s="1">
        <f t="shared" ca="1" si="1"/>
        <v>3</v>
      </c>
      <c r="W17" s="1">
        <f t="shared" ca="1" si="1"/>
        <v>6</v>
      </c>
      <c r="X17" s="1">
        <f t="shared" ca="1" si="1"/>
        <v>4</v>
      </c>
      <c r="Y17" s="1">
        <f t="shared" ca="1" si="1"/>
        <v>0</v>
      </c>
      <c r="Z17" s="1">
        <f t="shared" ca="1" si="1"/>
        <v>4</v>
      </c>
      <c r="AA17" s="1">
        <f t="shared" ca="1" si="1"/>
        <v>4</v>
      </c>
      <c r="AB17" s="1">
        <v>15</v>
      </c>
      <c r="AC17" s="1">
        <v>6</v>
      </c>
      <c r="AD17" s="1">
        <v>6</v>
      </c>
      <c r="AE17" s="1">
        <v>8</v>
      </c>
      <c r="AF17" s="1">
        <v>2</v>
      </c>
      <c r="AG17" s="1">
        <v>5</v>
      </c>
      <c r="AH17" s="1">
        <v>6</v>
      </c>
      <c r="AI17" s="1">
        <v>0</v>
      </c>
      <c r="AJ17" s="1">
        <v>5</v>
      </c>
      <c r="AK17" s="1">
        <v>1</v>
      </c>
      <c r="AL17" s="1">
        <v>0</v>
      </c>
      <c r="AM17" s="1">
        <v>6</v>
      </c>
      <c r="AN17" s="1">
        <v>4</v>
      </c>
      <c r="AO17" s="1">
        <v>6</v>
      </c>
      <c r="AP17" s="1"/>
      <c r="AQ17" s="1"/>
      <c r="AR17" s="1"/>
      <c r="AS17" s="1"/>
      <c r="AT17" s="1"/>
      <c r="AU17" s="1"/>
    </row>
    <row r="18" spans="1:97" ht="14.25" x14ac:dyDescent="0.3">
      <c r="A18" s="540" t="s">
        <v>332</v>
      </c>
      <c r="B18" s="186" t="s">
        <v>328</v>
      </c>
      <c r="C18" s="196">
        <v>2</v>
      </c>
      <c r="D18" s="461">
        <v>2</v>
      </c>
      <c r="E18" s="461">
        <v>-8</v>
      </c>
      <c r="F18" s="462">
        <v>6</v>
      </c>
      <c r="H18" s="3">
        <f t="shared" si="2"/>
        <v>16</v>
      </c>
      <c r="I18" s="1">
        <f t="shared" ca="1" si="0"/>
        <v>3</v>
      </c>
      <c r="J18" s="1">
        <f t="shared" ca="1" si="0"/>
        <v>6</v>
      </c>
      <c r="K18" s="1">
        <f t="shared" ca="1" si="0"/>
        <v>5</v>
      </c>
      <c r="L18" s="1">
        <f t="shared" ca="1" si="0"/>
        <v>3</v>
      </c>
      <c r="M18" s="1">
        <f t="shared" ca="1" si="0"/>
        <v>5</v>
      </c>
      <c r="N18" s="1">
        <f t="shared" ca="1" si="0"/>
        <v>2</v>
      </c>
      <c r="O18" s="1">
        <f t="shared" ca="1" si="0"/>
        <v>3</v>
      </c>
      <c r="P18" s="1">
        <f t="shared" ca="1" si="0"/>
        <v>6</v>
      </c>
      <c r="Q18" s="1">
        <f t="shared" ca="1" si="0"/>
        <v>1</v>
      </c>
      <c r="R18" s="1">
        <f t="shared" ca="1" si="0"/>
        <v>1</v>
      </c>
      <c r="S18" s="1">
        <f t="shared" ca="1" si="0"/>
        <v>5</v>
      </c>
      <c r="T18" s="1">
        <f t="shared" ca="1" si="0"/>
        <v>2</v>
      </c>
      <c r="U18" s="1">
        <f t="shared" ca="1" si="0"/>
        <v>7</v>
      </c>
      <c r="V18" s="1">
        <f t="shared" ca="1" si="1"/>
        <v>5</v>
      </c>
      <c r="W18" s="1">
        <f t="shared" ca="1" si="1"/>
        <v>4</v>
      </c>
      <c r="X18" s="1">
        <f t="shared" ca="1" si="1"/>
        <v>6</v>
      </c>
      <c r="Y18" s="1">
        <f t="shared" ca="1" si="1"/>
        <v>9</v>
      </c>
      <c r="Z18" s="1">
        <f t="shared" ca="1" si="1"/>
        <v>7</v>
      </c>
      <c r="AA18" s="1">
        <f t="shared" ca="1" si="1"/>
        <v>9</v>
      </c>
      <c r="AB18" s="1">
        <v>16</v>
      </c>
      <c r="AC18" s="1">
        <v>3</v>
      </c>
      <c r="AD18" s="1">
        <v>1</v>
      </c>
      <c r="AE18" s="1">
        <v>7</v>
      </c>
      <c r="AF18" s="1">
        <v>5</v>
      </c>
      <c r="AG18" s="1">
        <v>2</v>
      </c>
      <c r="AH18" s="1">
        <v>3</v>
      </c>
      <c r="AI18" s="1">
        <v>9</v>
      </c>
      <c r="AJ18" s="1">
        <v>1</v>
      </c>
      <c r="AK18" s="1">
        <v>0</v>
      </c>
      <c r="AL18" s="1">
        <v>9</v>
      </c>
      <c r="AM18" s="1">
        <v>2</v>
      </c>
      <c r="AN18" s="1">
        <v>0</v>
      </c>
      <c r="AO18" s="1">
        <v>8</v>
      </c>
      <c r="AP18" s="1"/>
      <c r="AQ18" s="1"/>
      <c r="AR18" s="1"/>
      <c r="AS18" s="1"/>
      <c r="AT18" s="1"/>
      <c r="AU18" s="1"/>
    </row>
    <row r="19" spans="1:97" ht="14.25" x14ac:dyDescent="0.3">
      <c r="A19" s="540"/>
      <c r="B19" s="186" t="s">
        <v>329</v>
      </c>
      <c r="C19" s="196">
        <v>-2</v>
      </c>
      <c r="D19" s="461">
        <v>0</v>
      </c>
      <c r="E19" s="461">
        <v>6</v>
      </c>
      <c r="F19" s="462">
        <v>-4</v>
      </c>
      <c r="H19" s="3">
        <f t="shared" si="2"/>
        <v>17</v>
      </c>
      <c r="I19" s="1">
        <f t="shared" ca="1" si="0"/>
        <v>3</v>
      </c>
      <c r="J19" s="1">
        <f t="shared" ca="1" si="0"/>
        <v>5</v>
      </c>
      <c r="K19" s="1">
        <f t="shared" ca="1" si="0"/>
        <v>7</v>
      </c>
      <c r="L19" s="1">
        <f t="shared" ca="1" si="0"/>
        <v>2</v>
      </c>
      <c r="M19" s="1">
        <f t="shared" ca="1" si="0"/>
        <v>6</v>
      </c>
      <c r="N19" s="1">
        <f t="shared" ca="1" si="0"/>
        <v>7</v>
      </c>
      <c r="O19" s="1">
        <f t="shared" ca="1" si="0"/>
        <v>8</v>
      </c>
      <c r="P19" s="1">
        <f t="shared" ca="1" si="0"/>
        <v>2</v>
      </c>
      <c r="Q19" s="1">
        <f t="shared" ca="1" si="0"/>
        <v>1</v>
      </c>
      <c r="R19" s="1">
        <f t="shared" ca="1" si="0"/>
        <v>5</v>
      </c>
      <c r="S19" s="1">
        <f t="shared" ca="1" si="0"/>
        <v>7</v>
      </c>
      <c r="T19" s="1">
        <f t="shared" ca="1" si="0"/>
        <v>9</v>
      </c>
      <c r="U19" s="1">
        <f t="shared" ca="1" si="0"/>
        <v>4</v>
      </c>
      <c r="V19" s="1">
        <f t="shared" ref="V19:AA22" ca="1" si="3">RANDBETWEEN(0,9)</f>
        <v>9</v>
      </c>
      <c r="W19" s="1">
        <f t="shared" ca="1" si="3"/>
        <v>1</v>
      </c>
      <c r="X19" s="1">
        <f t="shared" ca="1" si="3"/>
        <v>9</v>
      </c>
      <c r="Y19" s="1">
        <f t="shared" ca="1" si="3"/>
        <v>2</v>
      </c>
      <c r="Z19" s="1">
        <f t="shared" ca="1" si="3"/>
        <v>7</v>
      </c>
      <c r="AA19" s="1">
        <f t="shared" ca="1" si="3"/>
        <v>8</v>
      </c>
      <c r="AB19" s="1">
        <v>17</v>
      </c>
      <c r="AC19" s="1">
        <v>3</v>
      </c>
      <c r="AD19" s="1">
        <v>5</v>
      </c>
      <c r="AE19" s="1">
        <v>2</v>
      </c>
      <c r="AF19" s="1">
        <v>9</v>
      </c>
      <c r="AG19" s="1">
        <v>6</v>
      </c>
      <c r="AH19" s="1">
        <v>7</v>
      </c>
      <c r="AI19" s="1">
        <v>6</v>
      </c>
      <c r="AJ19" s="1">
        <v>5</v>
      </c>
      <c r="AK19" s="1">
        <v>3</v>
      </c>
      <c r="AL19" s="1">
        <v>9</v>
      </c>
      <c r="AM19" s="1">
        <v>2</v>
      </c>
      <c r="AN19" s="1">
        <v>9</v>
      </c>
      <c r="AO19" s="1">
        <v>7</v>
      </c>
      <c r="AP19" s="1"/>
      <c r="AQ19" s="1"/>
      <c r="AR19" s="1"/>
      <c r="AS19" s="1"/>
      <c r="AT19" s="1"/>
      <c r="AU19" s="1"/>
    </row>
    <row r="20" spans="1:97" ht="14.25" x14ac:dyDescent="0.3">
      <c r="A20" s="540"/>
      <c r="B20" s="186" t="s">
        <v>330</v>
      </c>
      <c r="C20" s="196">
        <v>2</v>
      </c>
      <c r="D20" s="461">
        <v>-7</v>
      </c>
      <c r="E20" s="461">
        <v>1</v>
      </c>
      <c r="F20" s="462">
        <v>-3</v>
      </c>
      <c r="H20" s="3">
        <f>H19+1</f>
        <v>18</v>
      </c>
      <c r="I20" s="1">
        <f t="shared" ref="I20:X22" ca="1" si="4">RANDBETWEEN(0,9)</f>
        <v>6</v>
      </c>
      <c r="J20" s="1">
        <f t="shared" ca="1" si="4"/>
        <v>1</v>
      </c>
      <c r="K20" s="1">
        <f t="shared" ca="1" si="4"/>
        <v>3</v>
      </c>
      <c r="L20" s="1">
        <f t="shared" ca="1" si="4"/>
        <v>6</v>
      </c>
      <c r="M20" s="1">
        <f t="shared" ca="1" si="4"/>
        <v>5</v>
      </c>
      <c r="N20" s="1">
        <f t="shared" ca="1" si="4"/>
        <v>2</v>
      </c>
      <c r="O20" s="1">
        <f t="shared" ca="1" si="4"/>
        <v>8</v>
      </c>
      <c r="P20" s="1">
        <f t="shared" ca="1" si="4"/>
        <v>2</v>
      </c>
      <c r="Q20" s="1">
        <f t="shared" ca="1" si="4"/>
        <v>9</v>
      </c>
      <c r="R20" s="1">
        <f t="shared" ca="1" si="4"/>
        <v>0</v>
      </c>
      <c r="S20" s="1">
        <f t="shared" ca="1" si="4"/>
        <v>1</v>
      </c>
      <c r="T20" s="1">
        <f t="shared" ca="1" si="4"/>
        <v>3</v>
      </c>
      <c r="U20" s="1">
        <f t="shared" ca="1" si="4"/>
        <v>8</v>
      </c>
      <c r="V20" s="1">
        <f t="shared" ca="1" si="4"/>
        <v>6</v>
      </c>
      <c r="W20" s="1">
        <f t="shared" ca="1" si="4"/>
        <v>0</v>
      </c>
      <c r="X20" s="1">
        <f t="shared" ca="1" si="4"/>
        <v>3</v>
      </c>
      <c r="Y20" s="1">
        <f t="shared" ca="1" si="3"/>
        <v>2</v>
      </c>
      <c r="Z20" s="1">
        <f t="shared" ca="1" si="3"/>
        <v>3</v>
      </c>
      <c r="AA20" s="1">
        <f t="shared" ca="1" si="3"/>
        <v>5</v>
      </c>
      <c r="AB20" s="1">
        <v>18</v>
      </c>
      <c r="AC20" s="1">
        <v>6</v>
      </c>
      <c r="AD20" s="1">
        <v>4</v>
      </c>
      <c r="AE20" s="1">
        <v>5</v>
      </c>
      <c r="AF20" s="1">
        <v>5</v>
      </c>
      <c r="AG20" s="1">
        <v>4</v>
      </c>
      <c r="AH20" s="1">
        <v>2</v>
      </c>
      <c r="AI20" s="1">
        <v>2</v>
      </c>
      <c r="AJ20" s="1">
        <v>7</v>
      </c>
      <c r="AK20" s="1">
        <v>4</v>
      </c>
      <c r="AL20" s="1">
        <v>4</v>
      </c>
      <c r="AM20" s="1">
        <v>1</v>
      </c>
      <c r="AN20" s="1">
        <v>7</v>
      </c>
      <c r="AO20" s="1">
        <v>2</v>
      </c>
      <c r="AP20" s="1"/>
      <c r="AQ20" s="1"/>
      <c r="AR20" s="1"/>
      <c r="AS20" s="1"/>
      <c r="AT20" s="1"/>
      <c r="AU20" s="1"/>
    </row>
    <row r="21" spans="1:97" x14ac:dyDescent="0.25">
      <c r="H21" s="3">
        <f>H20+1</f>
        <v>19</v>
      </c>
      <c r="I21" s="1">
        <f t="shared" ca="1" si="4"/>
        <v>3</v>
      </c>
      <c r="J21" s="1">
        <f t="shared" ca="1" si="4"/>
        <v>9</v>
      </c>
      <c r="K21" s="1">
        <f t="shared" ca="1" si="4"/>
        <v>1</v>
      </c>
      <c r="L21" s="1">
        <f t="shared" ca="1" si="4"/>
        <v>8</v>
      </c>
      <c r="M21" s="1">
        <f t="shared" ca="1" si="4"/>
        <v>4</v>
      </c>
      <c r="N21" s="1">
        <f t="shared" ca="1" si="4"/>
        <v>9</v>
      </c>
      <c r="O21" s="1">
        <f t="shared" ca="1" si="4"/>
        <v>2</v>
      </c>
      <c r="P21" s="1">
        <f t="shared" ca="1" si="4"/>
        <v>1</v>
      </c>
      <c r="Q21" s="1">
        <f t="shared" ca="1" si="4"/>
        <v>4</v>
      </c>
      <c r="R21" s="1">
        <f t="shared" ca="1" si="4"/>
        <v>4</v>
      </c>
      <c r="S21" s="1">
        <f t="shared" ca="1" si="4"/>
        <v>7</v>
      </c>
      <c r="T21" s="1">
        <f t="shared" ca="1" si="4"/>
        <v>6</v>
      </c>
      <c r="U21" s="1">
        <f t="shared" ca="1" si="4"/>
        <v>3</v>
      </c>
      <c r="V21" s="1">
        <f t="shared" ca="1" si="3"/>
        <v>9</v>
      </c>
      <c r="W21" s="1">
        <f t="shared" ca="1" si="3"/>
        <v>9</v>
      </c>
      <c r="X21" s="1">
        <f t="shared" ca="1" si="3"/>
        <v>2</v>
      </c>
      <c r="Y21" s="1">
        <f t="shared" ca="1" si="3"/>
        <v>1</v>
      </c>
      <c r="Z21" s="1">
        <f t="shared" ca="1" si="3"/>
        <v>6</v>
      </c>
      <c r="AA21" s="1">
        <f t="shared" ca="1" si="3"/>
        <v>5</v>
      </c>
      <c r="AB21" s="1">
        <v>19</v>
      </c>
      <c r="AC21" s="1">
        <v>0</v>
      </c>
      <c r="AD21" s="1">
        <v>4</v>
      </c>
      <c r="AE21" s="1">
        <v>5</v>
      </c>
      <c r="AF21" s="1">
        <v>0</v>
      </c>
      <c r="AG21" s="1">
        <v>1</v>
      </c>
      <c r="AH21" s="1">
        <v>2</v>
      </c>
      <c r="AI21" s="1">
        <v>6</v>
      </c>
      <c r="AJ21" s="1">
        <v>9</v>
      </c>
      <c r="AK21" s="1">
        <v>4</v>
      </c>
      <c r="AL21" s="1">
        <v>9</v>
      </c>
      <c r="AM21" s="1">
        <v>6</v>
      </c>
      <c r="AN21" s="1">
        <v>0</v>
      </c>
      <c r="AO21" s="1">
        <v>3</v>
      </c>
      <c r="AP21" s="1"/>
      <c r="AQ21" s="1"/>
      <c r="AR21" s="1"/>
      <c r="AS21" s="1"/>
      <c r="AT21" s="1"/>
      <c r="AU21" s="1"/>
    </row>
    <row r="22" spans="1:97" x14ac:dyDescent="0.25">
      <c r="H22" s="3">
        <f>H21+1</f>
        <v>20</v>
      </c>
      <c r="I22" s="1">
        <f t="shared" ca="1" si="4"/>
        <v>2</v>
      </c>
      <c r="J22" s="1">
        <f t="shared" ca="1" si="4"/>
        <v>8</v>
      </c>
      <c r="K22" s="1">
        <f t="shared" ca="1" si="4"/>
        <v>2</v>
      </c>
      <c r="L22" s="1">
        <f t="shared" ca="1" si="4"/>
        <v>9</v>
      </c>
      <c r="M22" s="1">
        <f t="shared" ca="1" si="4"/>
        <v>1</v>
      </c>
      <c r="N22" s="1">
        <f t="shared" ca="1" si="4"/>
        <v>2</v>
      </c>
      <c r="O22" s="1">
        <f t="shared" ca="1" si="4"/>
        <v>9</v>
      </c>
      <c r="P22" s="1">
        <f t="shared" ca="1" si="4"/>
        <v>6</v>
      </c>
      <c r="Q22" s="1">
        <f t="shared" ca="1" si="4"/>
        <v>8</v>
      </c>
      <c r="R22" s="1">
        <f t="shared" ca="1" si="4"/>
        <v>9</v>
      </c>
      <c r="S22" s="1">
        <f t="shared" ca="1" si="4"/>
        <v>7</v>
      </c>
      <c r="T22" s="1">
        <f t="shared" ca="1" si="4"/>
        <v>0</v>
      </c>
      <c r="U22" s="1">
        <f t="shared" ca="1" si="4"/>
        <v>2</v>
      </c>
      <c r="V22" s="1">
        <f t="shared" ca="1" si="3"/>
        <v>4</v>
      </c>
      <c r="W22" s="1">
        <f t="shared" ca="1" si="3"/>
        <v>9</v>
      </c>
      <c r="X22" s="1">
        <f t="shared" ca="1" si="3"/>
        <v>7</v>
      </c>
      <c r="Y22" s="1">
        <f t="shared" ca="1" si="3"/>
        <v>6</v>
      </c>
      <c r="Z22" s="1">
        <f t="shared" ca="1" si="3"/>
        <v>1</v>
      </c>
      <c r="AA22" s="1">
        <f t="shared" ca="1" si="3"/>
        <v>3</v>
      </c>
      <c r="AB22" s="1">
        <v>20</v>
      </c>
      <c r="AC22" s="1">
        <v>0</v>
      </c>
      <c r="AD22" s="1">
        <v>2</v>
      </c>
      <c r="AE22" s="1">
        <v>5</v>
      </c>
      <c r="AF22" s="1">
        <v>1</v>
      </c>
      <c r="AG22" s="1">
        <v>9</v>
      </c>
      <c r="AH22" s="1">
        <v>1</v>
      </c>
      <c r="AI22" s="1">
        <v>1</v>
      </c>
      <c r="AJ22" s="1">
        <v>8</v>
      </c>
      <c r="AK22" s="1">
        <v>7</v>
      </c>
      <c r="AL22" s="1">
        <v>2</v>
      </c>
      <c r="AM22" s="1">
        <v>8</v>
      </c>
      <c r="AN22" s="1">
        <v>4</v>
      </c>
      <c r="AO22" s="1">
        <v>1</v>
      </c>
      <c r="AP22" s="1"/>
      <c r="AQ22" s="1"/>
      <c r="AR22" s="1"/>
      <c r="AS22" s="1"/>
      <c r="AT22" s="1"/>
      <c r="AU22" s="1"/>
      <c r="CQ22" s="531" t="s">
        <v>335</v>
      </c>
      <c r="CR22" s="531"/>
      <c r="CS22" s="531"/>
    </row>
    <row r="24" spans="1:97" ht="14.25" x14ac:dyDescent="0.3">
      <c r="H24" s="492" t="s">
        <v>338</v>
      </c>
      <c r="I24" s="493"/>
      <c r="J24" s="493"/>
      <c r="K24" s="493"/>
      <c r="L24" s="493"/>
      <c r="M24" s="493"/>
      <c r="N24" s="493"/>
      <c r="O24" s="493"/>
      <c r="P24" s="493"/>
      <c r="Q24" s="493"/>
      <c r="R24" s="493"/>
      <c r="S24" s="493"/>
      <c r="T24" s="493"/>
      <c r="U24" s="493"/>
      <c r="V24" s="493"/>
      <c r="W24" s="493"/>
      <c r="X24" s="493"/>
      <c r="Y24" s="493"/>
      <c r="Z24" s="493"/>
      <c r="AA24" s="493"/>
      <c r="AB24" s="493"/>
      <c r="AC24" s="494"/>
    </row>
    <row r="25" spans="1:97" ht="14.25" x14ac:dyDescent="0.3">
      <c r="H25" s="267" t="s">
        <v>333</v>
      </c>
      <c r="I25" s="539" t="s">
        <v>334</v>
      </c>
      <c r="J25" s="539"/>
      <c r="K25" s="539"/>
      <c r="L25" s="539"/>
      <c r="M25" s="539"/>
      <c r="N25" s="539"/>
      <c r="O25" s="539"/>
      <c r="P25" s="539"/>
      <c r="Q25" s="539"/>
      <c r="R25" s="539"/>
      <c r="S25" s="539"/>
      <c r="T25" s="539"/>
      <c r="U25" s="539"/>
      <c r="V25" s="539"/>
      <c r="W25" s="539"/>
      <c r="X25" s="539"/>
      <c r="Y25" s="539"/>
      <c r="Z25" s="539"/>
      <c r="AA25" s="539"/>
      <c r="AB25" s="186" t="s">
        <v>337</v>
      </c>
      <c r="AC25" s="186" t="s">
        <v>119</v>
      </c>
    </row>
    <row r="26" spans="1:97" x14ac:dyDescent="0.25">
      <c r="H26" s="53">
        <v>1</v>
      </c>
      <c r="I26" s="361">
        <v>3</v>
      </c>
      <c r="J26" s="363">
        <v>8</v>
      </c>
      <c r="K26" s="363">
        <v>0</v>
      </c>
      <c r="L26" s="363"/>
      <c r="M26" s="363"/>
      <c r="N26" s="363"/>
      <c r="O26" s="363"/>
      <c r="P26" s="363"/>
      <c r="Q26" s="363"/>
      <c r="R26" s="363"/>
      <c r="S26" s="363"/>
      <c r="T26" s="363"/>
      <c r="U26" s="363"/>
      <c r="V26" s="363"/>
      <c r="W26" s="363"/>
      <c r="X26" s="363"/>
      <c r="Y26" s="363"/>
      <c r="Z26" s="363"/>
      <c r="AA26" s="362"/>
      <c r="AB26" s="349">
        <v>3</v>
      </c>
      <c r="AC26" s="344"/>
    </row>
    <row r="27" spans="1:97" x14ac:dyDescent="0.25">
      <c r="H27" s="53">
        <f>H26+1</f>
        <v>2</v>
      </c>
      <c r="I27" s="364">
        <v>1</v>
      </c>
      <c r="J27" s="116">
        <v>9</v>
      </c>
      <c r="K27" s="116">
        <v>0</v>
      </c>
      <c r="L27" s="116">
        <v>8</v>
      </c>
      <c r="M27" s="116">
        <v>4</v>
      </c>
      <c r="N27" s="116"/>
      <c r="O27" s="116"/>
      <c r="P27" s="116"/>
      <c r="Q27" s="116"/>
      <c r="R27" s="116"/>
      <c r="S27" s="116"/>
      <c r="T27" s="116"/>
      <c r="U27" s="116"/>
      <c r="V27" s="116"/>
      <c r="W27" s="116"/>
      <c r="X27" s="116"/>
      <c r="Y27" s="116"/>
      <c r="Z27" s="116"/>
      <c r="AA27" s="321"/>
      <c r="AB27" s="349">
        <f t="shared" ref="AB27:AB66" si="5">COUNT(I27:AA27)</f>
        <v>5</v>
      </c>
      <c r="AC27" s="345">
        <f>AVERAGE(AB26:AB27)</f>
        <v>4</v>
      </c>
    </row>
    <row r="28" spans="1:97" x14ac:dyDescent="0.25">
      <c r="H28" s="53">
        <f t="shared" ref="H28:H65" si="6">H27+1</f>
        <v>3</v>
      </c>
      <c r="I28" s="364">
        <v>7</v>
      </c>
      <c r="J28" s="116">
        <v>0</v>
      </c>
      <c r="K28" s="116">
        <v>1</v>
      </c>
      <c r="L28" s="116">
        <v>9</v>
      </c>
      <c r="M28" s="116">
        <v>1</v>
      </c>
      <c r="N28" s="116">
        <v>2</v>
      </c>
      <c r="O28" s="116"/>
      <c r="P28" s="116"/>
      <c r="Q28" s="116"/>
      <c r="R28" s="116"/>
      <c r="S28" s="116"/>
      <c r="T28" s="116"/>
      <c r="U28" s="116"/>
      <c r="V28" s="116"/>
      <c r="W28" s="116"/>
      <c r="X28" s="116"/>
      <c r="Y28" s="116"/>
      <c r="Z28" s="116"/>
      <c r="AA28" s="321"/>
      <c r="AB28" s="349">
        <f t="shared" si="5"/>
        <v>6</v>
      </c>
      <c r="AC28" s="345">
        <f>AVERAGE(AB26:AB28)</f>
        <v>4.666666666666667</v>
      </c>
    </row>
    <row r="29" spans="1:97" x14ac:dyDescent="0.25">
      <c r="H29" s="53">
        <f t="shared" si="6"/>
        <v>4</v>
      </c>
      <c r="I29" s="364">
        <v>2</v>
      </c>
      <c r="J29" s="116">
        <v>9</v>
      </c>
      <c r="K29" s="116">
        <v>9</v>
      </c>
      <c r="L29" s="116">
        <v>3</v>
      </c>
      <c r="M29" s="116">
        <v>9</v>
      </c>
      <c r="N29" s="116">
        <v>1</v>
      </c>
      <c r="O29" s="116"/>
      <c r="P29" s="116"/>
      <c r="Q29" s="116"/>
      <c r="R29" s="116"/>
      <c r="S29" s="116"/>
      <c r="T29" s="116"/>
      <c r="U29" s="116"/>
      <c r="V29" s="116"/>
      <c r="W29" s="116"/>
      <c r="X29" s="116"/>
      <c r="Y29" s="116"/>
      <c r="Z29" s="116"/>
      <c r="AA29" s="321"/>
      <c r="AB29" s="349">
        <f t="shared" si="5"/>
        <v>6</v>
      </c>
      <c r="AC29" s="345">
        <f>AVERAGE(AB26:AB29)</f>
        <v>5</v>
      </c>
    </row>
    <row r="30" spans="1:97" x14ac:dyDescent="0.25">
      <c r="H30" s="53">
        <f t="shared" si="6"/>
        <v>5</v>
      </c>
      <c r="I30" s="364">
        <v>1</v>
      </c>
      <c r="J30" s="116">
        <v>7</v>
      </c>
      <c r="K30" s="116">
        <v>6</v>
      </c>
      <c r="L30" s="116">
        <v>5</v>
      </c>
      <c r="M30" s="116">
        <v>7</v>
      </c>
      <c r="N30" s="116">
        <v>3</v>
      </c>
      <c r="O30" s="116"/>
      <c r="P30" s="116"/>
      <c r="Q30" s="116"/>
      <c r="R30" s="116"/>
      <c r="S30" s="116"/>
      <c r="T30" s="116"/>
      <c r="U30" s="116"/>
      <c r="V30" s="116"/>
      <c r="W30" s="116"/>
      <c r="X30" s="116"/>
      <c r="Y30" s="116"/>
      <c r="Z30" s="116"/>
      <c r="AA30" s="321"/>
      <c r="AB30" s="349">
        <f t="shared" si="5"/>
        <v>6</v>
      </c>
      <c r="AC30" s="345">
        <f>AVERAGE(AB26:AB30)</f>
        <v>5.2</v>
      </c>
    </row>
    <row r="31" spans="1:97" x14ac:dyDescent="0.25">
      <c r="H31" s="53">
        <f t="shared" si="6"/>
        <v>6</v>
      </c>
      <c r="I31" s="364">
        <v>0</v>
      </c>
      <c r="J31" s="116">
        <v>2</v>
      </c>
      <c r="K31" s="116">
        <v>1</v>
      </c>
      <c r="L31" s="116">
        <v>3</v>
      </c>
      <c r="M31" s="116">
        <v>9</v>
      </c>
      <c r="N31" s="116"/>
      <c r="O31" s="116"/>
      <c r="P31" s="116"/>
      <c r="Q31" s="116"/>
      <c r="R31" s="116"/>
      <c r="S31" s="116"/>
      <c r="T31" s="116"/>
      <c r="U31" s="116"/>
      <c r="V31" s="116"/>
      <c r="W31" s="116"/>
      <c r="X31" s="116"/>
      <c r="Y31" s="116"/>
      <c r="Z31" s="116"/>
      <c r="AA31" s="321"/>
      <c r="AB31" s="349">
        <f t="shared" si="5"/>
        <v>5</v>
      </c>
      <c r="AC31" s="345">
        <f>AVERAGE(AB26:AB31)</f>
        <v>5.166666666666667</v>
      </c>
    </row>
    <row r="32" spans="1:97" x14ac:dyDescent="0.25">
      <c r="H32" s="53">
        <f t="shared" si="6"/>
        <v>7</v>
      </c>
      <c r="I32" s="364">
        <v>3</v>
      </c>
      <c r="J32" s="116">
        <v>5</v>
      </c>
      <c r="K32" s="116">
        <v>9</v>
      </c>
      <c r="L32" s="116">
        <v>8</v>
      </c>
      <c r="M32" s="116">
        <v>3</v>
      </c>
      <c r="N32" s="116">
        <v>7</v>
      </c>
      <c r="O32" s="116">
        <v>8</v>
      </c>
      <c r="P32" s="116">
        <v>5</v>
      </c>
      <c r="Q32" s="116">
        <v>3</v>
      </c>
      <c r="R32" s="116">
        <v>1</v>
      </c>
      <c r="S32" s="116"/>
      <c r="T32" s="116"/>
      <c r="U32" s="116"/>
      <c r="V32" s="116"/>
      <c r="W32" s="116"/>
      <c r="X32" s="116"/>
      <c r="Y32" s="116"/>
      <c r="Z32" s="116"/>
      <c r="AA32" s="321"/>
      <c r="AB32" s="349">
        <f t="shared" si="5"/>
        <v>10</v>
      </c>
      <c r="AC32" s="345">
        <f>AVERAGE(AB26:AB32)</f>
        <v>5.8571428571428568</v>
      </c>
    </row>
    <row r="33" spans="8:29" x14ac:dyDescent="0.25">
      <c r="H33" s="53">
        <f t="shared" si="6"/>
        <v>8</v>
      </c>
      <c r="I33" s="364">
        <v>1</v>
      </c>
      <c r="J33" s="116">
        <v>4</v>
      </c>
      <c r="K33" s="116">
        <v>9</v>
      </c>
      <c r="L33" s="116"/>
      <c r="M33" s="116"/>
      <c r="N33" s="116"/>
      <c r="O33" s="116"/>
      <c r="P33" s="116"/>
      <c r="Q33" s="116"/>
      <c r="R33" s="116"/>
      <c r="S33" s="116"/>
      <c r="T33" s="116"/>
      <c r="U33" s="116"/>
      <c r="V33" s="116"/>
      <c r="W33" s="116"/>
      <c r="X33" s="116"/>
      <c r="Y33" s="116"/>
      <c r="Z33" s="116"/>
      <c r="AA33" s="321"/>
      <c r="AB33" s="349">
        <f t="shared" si="5"/>
        <v>3</v>
      </c>
      <c r="AC33" s="345">
        <f>AVERAGE(AB26:AB33)</f>
        <v>5.5</v>
      </c>
    </row>
    <row r="34" spans="8:29" x14ac:dyDescent="0.25">
      <c r="H34" s="53">
        <f t="shared" si="6"/>
        <v>9</v>
      </c>
      <c r="I34" s="364">
        <v>2</v>
      </c>
      <c r="J34" s="116">
        <v>0</v>
      </c>
      <c r="K34" s="116">
        <v>0</v>
      </c>
      <c r="L34" s="116">
        <v>2</v>
      </c>
      <c r="M34" s="116">
        <v>0</v>
      </c>
      <c r="N34" s="116">
        <v>8</v>
      </c>
      <c r="O34" s="116"/>
      <c r="P34" s="116"/>
      <c r="Q34" s="116"/>
      <c r="R34" s="116"/>
      <c r="S34" s="116"/>
      <c r="T34" s="116"/>
      <c r="U34" s="116"/>
      <c r="V34" s="116"/>
      <c r="W34" s="116"/>
      <c r="X34" s="116"/>
      <c r="Y34" s="116"/>
      <c r="Z34" s="116"/>
      <c r="AA34" s="321"/>
      <c r="AB34" s="349">
        <f t="shared" si="5"/>
        <v>6</v>
      </c>
      <c r="AC34" s="345">
        <f>AVERAGE(AB26:AB34)</f>
        <v>5.5555555555555554</v>
      </c>
    </row>
    <row r="35" spans="8:29" x14ac:dyDescent="0.25">
      <c r="H35" s="53">
        <f t="shared" si="6"/>
        <v>10</v>
      </c>
      <c r="I35" s="364">
        <v>4</v>
      </c>
      <c r="J35" s="116">
        <v>0</v>
      </c>
      <c r="K35" s="116">
        <v>6</v>
      </c>
      <c r="L35" s="116"/>
      <c r="M35" s="116"/>
      <c r="N35" s="116"/>
      <c r="O35" s="116"/>
      <c r="P35" s="116"/>
      <c r="Q35" s="116"/>
      <c r="R35" s="116"/>
      <c r="S35" s="116"/>
      <c r="T35" s="116"/>
      <c r="U35" s="116"/>
      <c r="V35" s="116"/>
      <c r="W35" s="116"/>
      <c r="X35" s="116"/>
      <c r="Y35" s="116"/>
      <c r="Z35" s="116"/>
      <c r="AA35" s="321"/>
      <c r="AB35" s="349">
        <f t="shared" si="5"/>
        <v>3</v>
      </c>
      <c r="AC35" s="345">
        <f>AVERAGE(AB26:AB35)</f>
        <v>5.3</v>
      </c>
    </row>
    <row r="36" spans="8:29" x14ac:dyDescent="0.25">
      <c r="H36" s="53">
        <f t="shared" si="6"/>
        <v>11</v>
      </c>
      <c r="I36" s="364">
        <v>7</v>
      </c>
      <c r="J36" s="116">
        <v>7</v>
      </c>
      <c r="K36" s="116">
        <v>0</v>
      </c>
      <c r="L36" s="116">
        <v>0</v>
      </c>
      <c r="M36" s="116">
        <v>6</v>
      </c>
      <c r="N36" s="116">
        <v>1</v>
      </c>
      <c r="O36" s="116">
        <v>5</v>
      </c>
      <c r="P36" s="116">
        <v>3</v>
      </c>
      <c r="Q36" s="116"/>
      <c r="R36" s="116"/>
      <c r="S36" s="116"/>
      <c r="T36" s="116"/>
      <c r="U36" s="116"/>
      <c r="V36" s="116"/>
      <c r="W36" s="116"/>
      <c r="X36" s="116"/>
      <c r="Y36" s="116"/>
      <c r="Z36" s="116"/>
      <c r="AA36" s="321"/>
      <c r="AB36" s="349">
        <f t="shared" si="5"/>
        <v>8</v>
      </c>
      <c r="AC36" s="345">
        <f>AVERAGE(AB26:AB36)</f>
        <v>5.5454545454545459</v>
      </c>
    </row>
    <row r="37" spans="8:29" x14ac:dyDescent="0.25">
      <c r="H37" s="53">
        <f t="shared" si="6"/>
        <v>12</v>
      </c>
      <c r="I37" s="364">
        <v>2</v>
      </c>
      <c r="J37" s="116">
        <v>9</v>
      </c>
      <c r="K37" s="116">
        <v>9</v>
      </c>
      <c r="L37" s="116">
        <v>8</v>
      </c>
      <c r="M37" s="116">
        <v>5</v>
      </c>
      <c r="N37" s="116">
        <v>7</v>
      </c>
      <c r="O37" s="116">
        <v>4</v>
      </c>
      <c r="P37" s="116">
        <v>1</v>
      </c>
      <c r="Q37" s="116"/>
      <c r="R37" s="116"/>
      <c r="S37" s="116"/>
      <c r="T37" s="116"/>
      <c r="U37" s="116"/>
      <c r="V37" s="116"/>
      <c r="W37" s="116"/>
      <c r="X37" s="116"/>
      <c r="Y37" s="116"/>
      <c r="Z37" s="116"/>
      <c r="AA37" s="321"/>
      <c r="AB37" s="349">
        <f t="shared" si="5"/>
        <v>8</v>
      </c>
      <c r="AC37" s="345">
        <f>AVERAGE(AB26:AB37)</f>
        <v>5.75</v>
      </c>
    </row>
    <row r="38" spans="8:29" x14ac:dyDescent="0.25">
      <c r="H38" s="53">
        <f t="shared" si="6"/>
        <v>13</v>
      </c>
      <c r="I38" s="364">
        <v>7</v>
      </c>
      <c r="J38" s="116">
        <v>4</v>
      </c>
      <c r="K38" s="116">
        <v>8</v>
      </c>
      <c r="L38" s="116">
        <v>5</v>
      </c>
      <c r="M38" s="116">
        <v>5</v>
      </c>
      <c r="N38" s="116">
        <v>7</v>
      </c>
      <c r="O38" s="116">
        <v>3</v>
      </c>
      <c r="P38" s="116">
        <v>4</v>
      </c>
      <c r="Q38" s="116">
        <v>8</v>
      </c>
      <c r="R38" s="116">
        <v>2</v>
      </c>
      <c r="S38" s="116">
        <v>4</v>
      </c>
      <c r="T38" s="116">
        <v>2</v>
      </c>
      <c r="U38" s="116">
        <v>3</v>
      </c>
      <c r="V38" s="116">
        <v>9</v>
      </c>
      <c r="W38" s="116">
        <v>9</v>
      </c>
      <c r="X38" s="116">
        <v>7</v>
      </c>
      <c r="Y38" s="116">
        <v>7</v>
      </c>
      <c r="Z38" s="116">
        <v>3</v>
      </c>
      <c r="AA38" s="321">
        <v>1</v>
      </c>
      <c r="AB38" s="349">
        <f t="shared" si="5"/>
        <v>19</v>
      </c>
      <c r="AC38" s="345">
        <f>AVERAGE(AB26:AB38)</f>
        <v>6.7692307692307692</v>
      </c>
    </row>
    <row r="39" spans="8:29" x14ac:dyDescent="0.25">
      <c r="H39" s="53">
        <f t="shared" si="6"/>
        <v>14</v>
      </c>
      <c r="I39" s="364">
        <v>3</v>
      </c>
      <c r="J39" s="116">
        <v>4</v>
      </c>
      <c r="K39" s="116">
        <v>1</v>
      </c>
      <c r="L39" s="116">
        <v>0</v>
      </c>
      <c r="M39" s="116">
        <v>9</v>
      </c>
      <c r="N39" s="116"/>
      <c r="O39" s="116"/>
      <c r="P39" s="116"/>
      <c r="Q39" s="116"/>
      <c r="R39" s="116"/>
      <c r="S39" s="116"/>
      <c r="T39" s="116"/>
      <c r="U39" s="116"/>
      <c r="V39" s="116"/>
      <c r="W39" s="116"/>
      <c r="X39" s="116"/>
      <c r="Y39" s="116"/>
      <c r="Z39" s="116"/>
      <c r="AA39" s="321"/>
      <c r="AB39" s="349">
        <f t="shared" si="5"/>
        <v>5</v>
      </c>
      <c r="AC39" s="345">
        <f>AVERAGE(AB26:AB39)</f>
        <v>6.6428571428571432</v>
      </c>
    </row>
    <row r="40" spans="8:29" x14ac:dyDescent="0.25">
      <c r="H40" s="53">
        <f t="shared" si="6"/>
        <v>15</v>
      </c>
      <c r="I40" s="364">
        <v>6</v>
      </c>
      <c r="J40" s="116">
        <v>2</v>
      </c>
      <c r="K40" s="116">
        <v>6</v>
      </c>
      <c r="L40" s="116">
        <v>5</v>
      </c>
      <c r="M40" s="116">
        <v>7</v>
      </c>
      <c r="N40" s="116">
        <v>3</v>
      </c>
      <c r="O40" s="116">
        <v>9</v>
      </c>
      <c r="P40" s="116">
        <v>0</v>
      </c>
      <c r="Q40" s="116"/>
      <c r="R40" s="116"/>
      <c r="S40" s="116"/>
      <c r="T40" s="116"/>
      <c r="U40" s="116"/>
      <c r="V40" s="116"/>
      <c r="W40" s="116"/>
      <c r="X40" s="116"/>
      <c r="Y40" s="116"/>
      <c r="Z40" s="116"/>
      <c r="AA40" s="321"/>
      <c r="AB40" s="349">
        <f t="shared" si="5"/>
        <v>8</v>
      </c>
      <c r="AC40" s="345">
        <f>AVERAGE(AB26:AB40)</f>
        <v>6.7333333333333334</v>
      </c>
    </row>
    <row r="41" spans="8:29" x14ac:dyDescent="0.25">
      <c r="H41" s="53">
        <f t="shared" si="6"/>
        <v>16</v>
      </c>
      <c r="I41" s="364">
        <v>2</v>
      </c>
      <c r="J41" s="116">
        <v>0</v>
      </c>
      <c r="K41" s="116">
        <v>8</v>
      </c>
      <c r="L41" s="116"/>
      <c r="M41" s="116"/>
      <c r="N41" s="116"/>
      <c r="O41" s="116"/>
      <c r="P41" s="116"/>
      <c r="Q41" s="116"/>
      <c r="R41" s="116"/>
      <c r="S41" s="116"/>
      <c r="T41" s="116"/>
      <c r="U41" s="116"/>
      <c r="V41" s="116"/>
      <c r="W41" s="116"/>
      <c r="X41" s="116"/>
      <c r="Y41" s="116"/>
      <c r="Z41" s="116"/>
      <c r="AA41" s="321"/>
      <c r="AB41" s="349">
        <f t="shared" si="5"/>
        <v>3</v>
      </c>
      <c r="AC41" s="345">
        <f>AVERAGE(AB26:AB41)</f>
        <v>6.5</v>
      </c>
    </row>
    <row r="42" spans="8:29" x14ac:dyDescent="0.25">
      <c r="H42" s="53">
        <f t="shared" si="6"/>
        <v>17</v>
      </c>
      <c r="I42" s="364">
        <v>5</v>
      </c>
      <c r="J42" s="116">
        <v>4</v>
      </c>
      <c r="K42" s="116">
        <v>1</v>
      </c>
      <c r="L42" s="116"/>
      <c r="M42" s="116"/>
      <c r="N42" s="116"/>
      <c r="O42" s="116"/>
      <c r="P42" s="116"/>
      <c r="Q42" s="116"/>
      <c r="R42" s="116"/>
      <c r="S42" s="116"/>
      <c r="T42" s="116"/>
      <c r="U42" s="116"/>
      <c r="V42" s="116"/>
      <c r="W42" s="116"/>
      <c r="X42" s="116"/>
      <c r="Y42" s="116"/>
      <c r="Z42" s="116"/>
      <c r="AA42" s="321"/>
      <c r="AB42" s="349">
        <f t="shared" si="5"/>
        <v>3</v>
      </c>
      <c r="AC42" s="345">
        <f>AVERAGE(AB26:AB42)</f>
        <v>6.2941176470588234</v>
      </c>
    </row>
    <row r="43" spans="8:29" x14ac:dyDescent="0.25">
      <c r="H43" s="53">
        <f t="shared" si="6"/>
        <v>18</v>
      </c>
      <c r="I43" s="364">
        <v>7</v>
      </c>
      <c r="J43" s="116">
        <v>5</v>
      </c>
      <c r="K43" s="116">
        <v>1</v>
      </c>
      <c r="L43" s="116">
        <v>3</v>
      </c>
      <c r="M43" s="116"/>
      <c r="N43" s="116"/>
      <c r="O43" s="116"/>
      <c r="P43" s="116"/>
      <c r="Q43" s="116"/>
      <c r="R43" s="116"/>
      <c r="S43" s="116"/>
      <c r="T43" s="116"/>
      <c r="U43" s="116"/>
      <c r="V43" s="116"/>
      <c r="W43" s="116"/>
      <c r="X43" s="116"/>
      <c r="Y43" s="116"/>
      <c r="Z43" s="116"/>
      <c r="AA43" s="321"/>
      <c r="AB43" s="349">
        <f t="shared" si="5"/>
        <v>4</v>
      </c>
      <c r="AC43" s="345">
        <f>AVERAGE(AB26:AB43)</f>
        <v>6.166666666666667</v>
      </c>
    </row>
    <row r="44" spans="8:29" x14ac:dyDescent="0.25">
      <c r="H44" s="53">
        <f t="shared" si="6"/>
        <v>19</v>
      </c>
      <c r="I44" s="364">
        <v>6</v>
      </c>
      <c r="J44" s="116">
        <v>4</v>
      </c>
      <c r="K44" s="116">
        <v>7</v>
      </c>
      <c r="L44" s="116">
        <v>2</v>
      </c>
      <c r="M44" s="116">
        <v>1</v>
      </c>
      <c r="N44" s="116"/>
      <c r="O44" s="116"/>
      <c r="P44" s="116"/>
      <c r="Q44" s="116"/>
      <c r="R44" s="116"/>
      <c r="S44" s="116"/>
      <c r="T44" s="116"/>
      <c r="U44" s="116"/>
      <c r="V44" s="116"/>
      <c r="W44" s="116"/>
      <c r="X44" s="116"/>
      <c r="Y44" s="116"/>
      <c r="Z44" s="116"/>
      <c r="AA44" s="321"/>
      <c r="AB44" s="349">
        <f t="shared" si="5"/>
        <v>5</v>
      </c>
      <c r="AC44" s="345">
        <f>AVERAGE(AB26:AB44)</f>
        <v>6.1052631578947372</v>
      </c>
    </row>
    <row r="45" spans="8:29" x14ac:dyDescent="0.25">
      <c r="H45" s="55">
        <f t="shared" si="6"/>
        <v>20</v>
      </c>
      <c r="I45" s="132">
        <v>6</v>
      </c>
      <c r="J45" s="133">
        <v>4</v>
      </c>
      <c r="K45" s="133">
        <v>6</v>
      </c>
      <c r="L45" s="133">
        <v>0</v>
      </c>
      <c r="M45" s="133"/>
      <c r="N45" s="133"/>
      <c r="O45" s="133"/>
      <c r="P45" s="133"/>
      <c r="Q45" s="133"/>
      <c r="R45" s="133"/>
      <c r="S45" s="133"/>
      <c r="T45" s="133"/>
      <c r="U45" s="133"/>
      <c r="V45" s="133"/>
      <c r="W45" s="133"/>
      <c r="X45" s="133"/>
      <c r="Y45" s="133"/>
      <c r="Z45" s="133"/>
      <c r="AA45" s="322"/>
      <c r="AB45" s="465">
        <f t="shared" si="5"/>
        <v>4</v>
      </c>
      <c r="AC45" s="346">
        <f>AVERAGE(AB26:AB45)</f>
        <v>6</v>
      </c>
    </row>
    <row r="46" spans="8:29" x14ac:dyDescent="0.25">
      <c r="H46" s="3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3"/>
      <c r="AC46" s="3"/>
    </row>
    <row r="47" spans="8:29" x14ac:dyDescent="0.25">
      <c r="H47" s="3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</row>
    <row r="48" spans="8:29" x14ac:dyDescent="0.25">
      <c r="H48" s="3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</row>
    <row r="49" spans="8:29" x14ac:dyDescent="0.25">
      <c r="H49" s="3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</row>
    <row r="50" spans="8:29" x14ac:dyDescent="0.25">
      <c r="H50" s="3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</row>
    <row r="51" spans="8:29" x14ac:dyDescent="0.25">
      <c r="H51" s="3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</row>
    <row r="52" spans="8:29" x14ac:dyDescent="0.25">
      <c r="H52" s="3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</row>
    <row r="53" spans="8:29" x14ac:dyDescent="0.25">
      <c r="H53" s="3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</row>
    <row r="54" spans="8:29" x14ac:dyDescent="0.25">
      <c r="H54" s="3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</row>
    <row r="55" spans="8:29" x14ac:dyDescent="0.25">
      <c r="H55" s="3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</row>
    <row r="56" spans="8:29" x14ac:dyDescent="0.25">
      <c r="H56" s="3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</row>
    <row r="57" spans="8:29" x14ac:dyDescent="0.25">
      <c r="H57" s="3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</row>
    <row r="58" spans="8:29" x14ac:dyDescent="0.25">
      <c r="H58" s="3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</row>
    <row r="59" spans="8:29" x14ac:dyDescent="0.25">
      <c r="H59" s="3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</row>
    <row r="60" spans="8:29" x14ac:dyDescent="0.25">
      <c r="H60" s="3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</row>
    <row r="61" spans="8:29" x14ac:dyDescent="0.25">
      <c r="H61" s="3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</row>
    <row r="62" spans="8:29" x14ac:dyDescent="0.25">
      <c r="H62" s="3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</row>
    <row r="63" spans="8:29" x14ac:dyDescent="0.25">
      <c r="H63" s="3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</row>
    <row r="64" spans="8:29" x14ac:dyDescent="0.25">
      <c r="H64" s="3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</row>
    <row r="65" spans="8:29" x14ac:dyDescent="0.25">
      <c r="H65" s="3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</row>
    <row r="66" spans="8:29" x14ac:dyDescent="0.25"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</row>
  </sheetData>
  <mergeCells count="14">
    <mergeCell ref="I25:AA25"/>
    <mergeCell ref="H24:AC24"/>
    <mergeCell ref="A18:A20"/>
    <mergeCell ref="A15:F15"/>
    <mergeCell ref="C2:F2"/>
    <mergeCell ref="A4:A7"/>
    <mergeCell ref="B4:B5"/>
    <mergeCell ref="B6:B7"/>
    <mergeCell ref="CQ22:CS22"/>
    <mergeCell ref="C3:D3"/>
    <mergeCell ref="E3:F3"/>
    <mergeCell ref="AC2:AL2"/>
    <mergeCell ref="A1:F1"/>
    <mergeCell ref="C16:F16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33"/>
  <sheetViews>
    <sheetView workbookViewId="0">
      <selection activeCell="G2" sqref="G2:J33"/>
    </sheetView>
  </sheetViews>
  <sheetFormatPr defaultRowHeight="12.75" x14ac:dyDescent="0.25"/>
  <cols>
    <col min="8" max="8" width="8.140625" customWidth="1"/>
  </cols>
  <sheetData>
    <row r="2" spans="2:10" x14ac:dyDescent="0.25">
      <c r="G2" s="489" t="s">
        <v>338</v>
      </c>
      <c r="H2" s="489"/>
      <c r="I2" s="489"/>
      <c r="J2" s="489"/>
    </row>
    <row r="3" spans="2:10" s="198" customFormat="1" ht="25.5" x14ac:dyDescent="0.25">
      <c r="G3" s="466" t="s">
        <v>372</v>
      </c>
      <c r="H3" s="466" t="s">
        <v>371</v>
      </c>
      <c r="I3" s="466" t="s">
        <v>369</v>
      </c>
      <c r="J3" s="466" t="s">
        <v>370</v>
      </c>
    </row>
    <row r="4" spans="2:10" x14ac:dyDescent="0.25">
      <c r="B4" t="s">
        <v>341</v>
      </c>
      <c r="C4" t="str">
        <f>LEFT(B4,3)</f>
        <v xml:space="preserve">  6</v>
      </c>
      <c r="D4" t="str">
        <f>MID(B4,5,3)</f>
        <v xml:space="preserve"> 84</v>
      </c>
      <c r="E4" t="str">
        <f>MID(B4,9,3)</f>
        <v xml:space="preserve"> 51</v>
      </c>
      <c r="G4" s="543">
        <v>1</v>
      </c>
      <c r="H4" s="467">
        <f>VALUE(C4)</f>
        <v>6</v>
      </c>
      <c r="I4" s="344">
        <f>VALUE(D4)</f>
        <v>84</v>
      </c>
      <c r="J4" s="468">
        <f>VALUE(E4)</f>
        <v>51</v>
      </c>
    </row>
    <row r="5" spans="2:10" x14ac:dyDescent="0.25">
      <c r="B5" t="s">
        <v>342</v>
      </c>
      <c r="C5" t="str">
        <f t="shared" ref="C5:C10" si="0">LEFT(B5,3)</f>
        <v xml:space="preserve">  7</v>
      </c>
      <c r="D5" t="str">
        <f t="shared" ref="D5:D10" si="1">MID(B5,5,3)</f>
        <v xml:space="preserve"> 90</v>
      </c>
      <c r="E5" t="str">
        <f t="shared" ref="E5:E10" si="2">MID(B5,9,3)</f>
        <v xml:space="preserve"> 33</v>
      </c>
      <c r="G5" s="543"/>
      <c r="H5" s="349">
        <f t="shared" ref="H5:H10" si="3">VALUE(C5)</f>
        <v>7</v>
      </c>
      <c r="I5" s="345">
        <f t="shared" ref="I5:I10" si="4">VALUE(D5)</f>
        <v>90</v>
      </c>
      <c r="J5" s="469">
        <f t="shared" ref="J5:J10" si="5">VALUE(E5)</f>
        <v>33</v>
      </c>
    </row>
    <row r="6" spans="2:10" x14ac:dyDescent="0.25">
      <c r="B6" t="s">
        <v>343</v>
      </c>
      <c r="C6" t="str">
        <f t="shared" si="0"/>
        <v xml:space="preserve">  8</v>
      </c>
      <c r="D6" t="str">
        <f t="shared" si="1"/>
        <v>107</v>
      </c>
      <c r="E6" t="str">
        <f t="shared" si="2"/>
        <v xml:space="preserve"> 18</v>
      </c>
      <c r="G6" s="543"/>
      <c r="H6" s="349">
        <f t="shared" si="3"/>
        <v>8</v>
      </c>
      <c r="I6" s="345">
        <f t="shared" si="4"/>
        <v>107</v>
      </c>
      <c r="J6" s="469">
        <f t="shared" si="5"/>
        <v>18</v>
      </c>
    </row>
    <row r="7" spans="2:10" x14ac:dyDescent="0.25">
      <c r="B7" t="s">
        <v>344</v>
      </c>
      <c r="C7" t="str">
        <f t="shared" si="0"/>
        <v xml:space="preserve">  9</v>
      </c>
      <c r="D7" t="str">
        <f t="shared" si="1"/>
        <v>113</v>
      </c>
      <c r="E7" t="str">
        <f t="shared" si="2"/>
        <v xml:space="preserve"> 26</v>
      </c>
      <c r="G7" s="543"/>
      <c r="H7" s="349">
        <f t="shared" si="3"/>
        <v>9</v>
      </c>
      <c r="I7" s="345">
        <f t="shared" si="4"/>
        <v>113</v>
      </c>
      <c r="J7" s="469">
        <f t="shared" si="5"/>
        <v>26</v>
      </c>
    </row>
    <row r="8" spans="2:10" x14ac:dyDescent="0.25">
      <c r="B8" t="s">
        <v>345</v>
      </c>
      <c r="C8" t="str">
        <f t="shared" si="0"/>
        <v xml:space="preserve"> 10</v>
      </c>
      <c r="D8" t="str">
        <f t="shared" si="1"/>
        <v>118</v>
      </c>
      <c r="E8" t="str">
        <f t="shared" si="2"/>
        <v xml:space="preserve"> 15</v>
      </c>
      <c r="G8" s="543"/>
      <c r="H8" s="349">
        <f t="shared" si="3"/>
        <v>10</v>
      </c>
      <c r="I8" s="345">
        <f t="shared" si="4"/>
        <v>118</v>
      </c>
      <c r="J8" s="469">
        <f t="shared" si="5"/>
        <v>15</v>
      </c>
    </row>
    <row r="9" spans="2:10" x14ac:dyDescent="0.25">
      <c r="B9" t="s">
        <v>346</v>
      </c>
      <c r="C9" t="str">
        <f t="shared" si="0"/>
        <v xml:space="preserve"> 11</v>
      </c>
      <c r="D9" t="str">
        <f t="shared" si="1"/>
        <v>141</v>
      </c>
      <c r="E9" t="str">
        <f t="shared" si="2"/>
        <v xml:space="preserve">  4</v>
      </c>
      <c r="G9" s="543"/>
      <c r="H9" s="471">
        <f t="shared" si="3"/>
        <v>11</v>
      </c>
      <c r="I9" s="472">
        <f t="shared" si="4"/>
        <v>141</v>
      </c>
      <c r="J9" s="473">
        <f t="shared" si="5"/>
        <v>4</v>
      </c>
    </row>
    <row r="10" spans="2:10" x14ac:dyDescent="0.25">
      <c r="B10" t="s">
        <v>347</v>
      </c>
      <c r="C10" t="str">
        <f t="shared" si="0"/>
        <v xml:space="preserve"> 12</v>
      </c>
      <c r="D10" t="str">
        <f t="shared" si="1"/>
        <v>122</v>
      </c>
      <c r="E10" t="str">
        <f t="shared" si="2"/>
        <v xml:space="preserve">  0</v>
      </c>
      <c r="G10" s="543"/>
      <c r="H10" s="349">
        <f t="shared" si="3"/>
        <v>12</v>
      </c>
      <c r="I10" s="345">
        <f t="shared" si="4"/>
        <v>122</v>
      </c>
      <c r="J10" s="469">
        <f t="shared" si="5"/>
        <v>0</v>
      </c>
    </row>
    <row r="11" spans="2:10" x14ac:dyDescent="0.25">
      <c r="B11" t="s">
        <v>340</v>
      </c>
      <c r="C11" t="str">
        <f t="shared" ref="C11:C33" si="6">LEFT(B11,3)</f>
        <v xml:space="preserve"> 13</v>
      </c>
      <c r="D11" t="str">
        <f>MID(B11,5,3)</f>
        <v>134</v>
      </c>
      <c r="E11" t="str">
        <f>MID(B11,9,3)</f>
        <v xml:space="preserve">  0</v>
      </c>
      <c r="G11" s="543"/>
      <c r="H11" s="349">
        <f>VALUE(C11)</f>
        <v>13</v>
      </c>
      <c r="I11" s="345">
        <f>VALUE(D11)</f>
        <v>134</v>
      </c>
      <c r="J11" s="469">
        <f>VALUE(E11)</f>
        <v>0</v>
      </c>
    </row>
    <row r="12" spans="2:10" x14ac:dyDescent="0.25">
      <c r="B12" t="s">
        <v>348</v>
      </c>
      <c r="C12" t="str">
        <f t="shared" si="6"/>
        <v xml:space="preserve"> 14</v>
      </c>
      <c r="D12" t="str">
        <f t="shared" ref="D12:D33" si="7">MID(B12,5,3)</f>
        <v>129</v>
      </c>
      <c r="E12" t="str">
        <f t="shared" ref="E12:E33" si="8">MID(B12,9,3)</f>
        <v xml:space="preserve">  0</v>
      </c>
      <c r="G12" s="543"/>
      <c r="H12" s="349">
        <f t="shared" ref="H12:H33" si="9">VALUE(C12)</f>
        <v>14</v>
      </c>
      <c r="I12" s="345">
        <f t="shared" ref="I12:I33" si="10">VALUE(D12)</f>
        <v>129</v>
      </c>
      <c r="J12" s="469">
        <f t="shared" ref="J12:J33" si="11">VALUE(E12)</f>
        <v>0</v>
      </c>
    </row>
    <row r="13" spans="2:10" x14ac:dyDescent="0.25">
      <c r="B13" t="s">
        <v>349</v>
      </c>
      <c r="C13" t="str">
        <f t="shared" si="6"/>
        <v xml:space="preserve"> 15</v>
      </c>
      <c r="D13" t="str">
        <f t="shared" si="7"/>
        <v>132</v>
      </c>
      <c r="E13" t="str">
        <f t="shared" si="8"/>
        <v xml:space="preserve">  0</v>
      </c>
      <c r="G13" s="543"/>
      <c r="H13" s="465">
        <f t="shared" si="9"/>
        <v>15</v>
      </c>
      <c r="I13" s="346">
        <f t="shared" si="10"/>
        <v>132</v>
      </c>
      <c r="J13" s="470">
        <f t="shared" si="11"/>
        <v>0</v>
      </c>
    </row>
    <row r="14" spans="2:10" x14ac:dyDescent="0.25">
      <c r="B14" t="s">
        <v>350</v>
      </c>
      <c r="C14" t="str">
        <f t="shared" si="6"/>
        <v xml:space="preserve">  6</v>
      </c>
      <c r="D14" t="str">
        <f t="shared" si="7"/>
        <v xml:space="preserve"> 76</v>
      </c>
      <c r="E14" t="str">
        <f t="shared" si="8"/>
        <v xml:space="preserve"> 53</v>
      </c>
      <c r="G14" s="544">
        <v>2</v>
      </c>
      <c r="H14" s="51">
        <f t="shared" si="9"/>
        <v>6</v>
      </c>
      <c r="I14" s="344">
        <f t="shared" si="10"/>
        <v>76</v>
      </c>
      <c r="J14" s="468">
        <f t="shared" si="11"/>
        <v>53</v>
      </c>
    </row>
    <row r="15" spans="2:10" x14ac:dyDescent="0.25">
      <c r="B15" t="s">
        <v>351</v>
      </c>
      <c r="C15" t="str">
        <f t="shared" si="6"/>
        <v xml:space="preserve">  7</v>
      </c>
      <c r="D15" t="str">
        <f t="shared" si="7"/>
        <v xml:space="preserve"> 78</v>
      </c>
      <c r="E15" t="str">
        <f t="shared" si="8"/>
        <v xml:space="preserve"> 43</v>
      </c>
      <c r="G15" s="545"/>
      <c r="H15" s="53">
        <f t="shared" si="9"/>
        <v>7</v>
      </c>
      <c r="I15" s="345">
        <f t="shared" si="10"/>
        <v>78</v>
      </c>
      <c r="J15" s="469">
        <f t="shared" si="11"/>
        <v>43</v>
      </c>
    </row>
    <row r="16" spans="2:10" x14ac:dyDescent="0.25">
      <c r="B16" t="s">
        <v>352</v>
      </c>
      <c r="C16" t="str">
        <f t="shared" si="6"/>
        <v xml:space="preserve">  8</v>
      </c>
      <c r="D16" t="str">
        <f t="shared" si="7"/>
        <v>109</v>
      </c>
      <c r="E16" t="str">
        <f t="shared" si="8"/>
        <v xml:space="preserve"> 26</v>
      </c>
      <c r="G16" s="545"/>
      <c r="H16" s="53">
        <f t="shared" si="9"/>
        <v>8</v>
      </c>
      <c r="I16" s="345">
        <f t="shared" si="10"/>
        <v>109</v>
      </c>
      <c r="J16" s="469">
        <f t="shared" si="11"/>
        <v>26</v>
      </c>
    </row>
    <row r="17" spans="2:10" x14ac:dyDescent="0.25">
      <c r="B17" t="s">
        <v>353</v>
      </c>
      <c r="C17" t="str">
        <f t="shared" si="6"/>
        <v xml:space="preserve">  9</v>
      </c>
      <c r="D17" t="str">
        <f t="shared" si="7"/>
        <v>111</v>
      </c>
      <c r="E17" t="str">
        <f t="shared" si="8"/>
        <v xml:space="preserve"> 31</v>
      </c>
      <c r="G17" s="545"/>
      <c r="H17" s="53">
        <f t="shared" si="9"/>
        <v>9</v>
      </c>
      <c r="I17" s="345">
        <f t="shared" si="10"/>
        <v>111</v>
      </c>
      <c r="J17" s="469">
        <f t="shared" si="11"/>
        <v>31</v>
      </c>
    </row>
    <row r="18" spans="2:10" x14ac:dyDescent="0.25">
      <c r="B18" t="s">
        <v>354</v>
      </c>
      <c r="C18" t="str">
        <f t="shared" si="6"/>
        <v xml:space="preserve"> 10</v>
      </c>
      <c r="D18" t="str">
        <f t="shared" si="7"/>
        <v>120</v>
      </c>
      <c r="E18" t="str">
        <f t="shared" si="8"/>
        <v xml:space="preserve">  7</v>
      </c>
      <c r="G18" s="545"/>
      <c r="H18" s="53">
        <f t="shared" si="9"/>
        <v>10</v>
      </c>
      <c r="I18" s="345">
        <f t="shared" si="10"/>
        <v>120</v>
      </c>
      <c r="J18" s="469">
        <f t="shared" si="11"/>
        <v>7</v>
      </c>
    </row>
    <row r="19" spans="2:10" x14ac:dyDescent="0.25">
      <c r="B19" t="s">
        <v>355</v>
      </c>
      <c r="C19" t="str">
        <f t="shared" si="6"/>
        <v xml:space="preserve"> 11</v>
      </c>
      <c r="D19" t="str">
        <f t="shared" si="7"/>
        <v>128</v>
      </c>
      <c r="E19" t="str">
        <f t="shared" si="8"/>
        <v xml:space="preserve">  2</v>
      </c>
      <c r="G19" s="545"/>
      <c r="H19" s="474">
        <f t="shared" si="9"/>
        <v>11</v>
      </c>
      <c r="I19" s="472">
        <f t="shared" si="10"/>
        <v>128</v>
      </c>
      <c r="J19" s="473">
        <f t="shared" si="11"/>
        <v>2</v>
      </c>
    </row>
    <row r="20" spans="2:10" x14ac:dyDescent="0.25">
      <c r="B20" t="s">
        <v>356</v>
      </c>
      <c r="C20" t="str">
        <f t="shared" si="6"/>
        <v xml:space="preserve"> 12</v>
      </c>
      <c r="D20" t="str">
        <f t="shared" si="7"/>
        <v>139</v>
      </c>
      <c r="E20" t="str">
        <f t="shared" si="8"/>
        <v xml:space="preserve">  0</v>
      </c>
      <c r="G20" s="545"/>
      <c r="H20" s="53">
        <f t="shared" si="9"/>
        <v>12</v>
      </c>
      <c r="I20" s="345">
        <f t="shared" si="10"/>
        <v>139</v>
      </c>
      <c r="J20" s="469">
        <f t="shared" si="11"/>
        <v>0</v>
      </c>
    </row>
    <row r="21" spans="2:10" x14ac:dyDescent="0.25">
      <c r="B21" t="s">
        <v>357</v>
      </c>
      <c r="C21" t="str">
        <f t="shared" si="6"/>
        <v xml:space="preserve"> 13</v>
      </c>
      <c r="D21" t="str">
        <f t="shared" si="7"/>
        <v>127</v>
      </c>
      <c r="E21" t="str">
        <f t="shared" si="8"/>
        <v xml:space="preserve">  0</v>
      </c>
      <c r="G21" s="545"/>
      <c r="H21" s="53">
        <f t="shared" si="9"/>
        <v>13</v>
      </c>
      <c r="I21" s="345">
        <f t="shared" si="10"/>
        <v>127</v>
      </c>
      <c r="J21" s="469">
        <f t="shared" si="11"/>
        <v>0</v>
      </c>
    </row>
    <row r="22" spans="2:10" x14ac:dyDescent="0.25">
      <c r="B22" t="s">
        <v>358</v>
      </c>
      <c r="C22" t="str">
        <f t="shared" si="6"/>
        <v xml:space="preserve"> 14</v>
      </c>
      <c r="D22" t="str">
        <f t="shared" si="7"/>
        <v>146</v>
      </c>
      <c r="E22" t="str">
        <f t="shared" si="8"/>
        <v xml:space="preserve">  0</v>
      </c>
      <c r="G22" s="545"/>
      <c r="H22" s="53">
        <f t="shared" si="9"/>
        <v>14</v>
      </c>
      <c r="I22" s="345">
        <f t="shared" si="10"/>
        <v>146</v>
      </c>
      <c r="J22" s="469">
        <f t="shared" si="11"/>
        <v>0</v>
      </c>
    </row>
    <row r="23" spans="2:10" x14ac:dyDescent="0.25">
      <c r="B23" t="s">
        <v>359</v>
      </c>
      <c r="C23" t="str">
        <f t="shared" si="6"/>
        <v xml:space="preserve"> 15</v>
      </c>
      <c r="D23" t="str">
        <f t="shared" si="7"/>
        <v>141</v>
      </c>
      <c r="E23" t="str">
        <f t="shared" si="8"/>
        <v xml:space="preserve">  0</v>
      </c>
      <c r="G23" s="546"/>
      <c r="H23" s="55">
        <f t="shared" si="9"/>
        <v>15</v>
      </c>
      <c r="I23" s="346">
        <f t="shared" si="10"/>
        <v>141</v>
      </c>
      <c r="J23" s="470">
        <f t="shared" si="11"/>
        <v>0</v>
      </c>
    </row>
    <row r="24" spans="2:10" x14ac:dyDescent="0.25">
      <c r="B24" t="s">
        <v>360</v>
      </c>
      <c r="C24" t="str">
        <f t="shared" si="6"/>
        <v xml:space="preserve">  6</v>
      </c>
      <c r="D24" t="str">
        <f t="shared" si="7"/>
        <v xml:space="preserve"> 89</v>
      </c>
      <c r="E24" t="str">
        <f t="shared" si="8"/>
        <v xml:space="preserve"> 47</v>
      </c>
      <c r="G24" s="544">
        <v>3</v>
      </c>
      <c r="H24" s="51">
        <f t="shared" si="9"/>
        <v>6</v>
      </c>
      <c r="I24" s="344">
        <f t="shared" si="10"/>
        <v>89</v>
      </c>
      <c r="J24" s="468">
        <f t="shared" si="11"/>
        <v>47</v>
      </c>
    </row>
    <row r="25" spans="2:10" x14ac:dyDescent="0.25">
      <c r="B25" t="s">
        <v>361</v>
      </c>
      <c r="C25" t="str">
        <f t="shared" si="6"/>
        <v xml:space="preserve">  7</v>
      </c>
      <c r="D25" t="str">
        <f t="shared" si="7"/>
        <v xml:space="preserve"> 90</v>
      </c>
      <c r="E25" t="str">
        <f t="shared" si="8"/>
        <v xml:space="preserve"> 41</v>
      </c>
      <c r="G25" s="545"/>
      <c r="H25" s="53">
        <f t="shared" si="9"/>
        <v>7</v>
      </c>
      <c r="I25" s="345">
        <f t="shared" si="10"/>
        <v>90</v>
      </c>
      <c r="J25" s="469">
        <f t="shared" si="11"/>
        <v>41</v>
      </c>
    </row>
    <row r="26" spans="2:10" x14ac:dyDescent="0.25">
      <c r="B26" t="s">
        <v>339</v>
      </c>
      <c r="C26" t="str">
        <f t="shared" si="6"/>
        <v xml:space="preserve">  8</v>
      </c>
      <c r="D26" t="str">
        <f t="shared" si="7"/>
        <v xml:space="preserve"> 98</v>
      </c>
      <c r="E26" t="str">
        <f t="shared" si="8"/>
        <v xml:space="preserve"> 28</v>
      </c>
      <c r="G26" s="545"/>
      <c r="H26" s="53">
        <f t="shared" si="9"/>
        <v>8</v>
      </c>
      <c r="I26" s="345">
        <f t="shared" si="10"/>
        <v>98</v>
      </c>
      <c r="J26" s="469">
        <f t="shared" si="11"/>
        <v>28</v>
      </c>
    </row>
    <row r="27" spans="2:10" x14ac:dyDescent="0.25">
      <c r="B27" t="s">
        <v>362</v>
      </c>
      <c r="C27" t="str">
        <f t="shared" si="6"/>
        <v xml:space="preserve">  9</v>
      </c>
      <c r="D27" t="str">
        <f t="shared" si="7"/>
        <v>113</v>
      </c>
      <c r="E27" t="str">
        <f t="shared" si="8"/>
        <v xml:space="preserve"> 16</v>
      </c>
      <c r="G27" s="545"/>
      <c r="H27" s="53">
        <f t="shared" si="9"/>
        <v>9</v>
      </c>
      <c r="I27" s="345">
        <f t="shared" si="10"/>
        <v>113</v>
      </c>
      <c r="J27" s="469">
        <f t="shared" si="11"/>
        <v>16</v>
      </c>
    </row>
    <row r="28" spans="2:10" x14ac:dyDescent="0.25">
      <c r="B28" t="s">
        <v>363</v>
      </c>
      <c r="C28" t="str">
        <f t="shared" si="6"/>
        <v xml:space="preserve"> 10</v>
      </c>
      <c r="D28" t="str">
        <f t="shared" si="7"/>
        <v>119</v>
      </c>
      <c r="E28" t="str">
        <f t="shared" si="8"/>
        <v xml:space="preserve"> 10</v>
      </c>
      <c r="G28" s="545"/>
      <c r="H28" s="53">
        <f t="shared" si="9"/>
        <v>10</v>
      </c>
      <c r="I28" s="345">
        <f t="shared" si="10"/>
        <v>119</v>
      </c>
      <c r="J28" s="469">
        <f t="shared" si="11"/>
        <v>10</v>
      </c>
    </row>
    <row r="29" spans="2:10" x14ac:dyDescent="0.25">
      <c r="B29" t="s">
        <v>364</v>
      </c>
      <c r="C29" t="str">
        <f t="shared" si="6"/>
        <v xml:space="preserve"> 11</v>
      </c>
      <c r="D29" t="str">
        <f t="shared" si="7"/>
        <v>121</v>
      </c>
      <c r="E29" t="str">
        <f t="shared" si="8"/>
        <v xml:space="preserve">  7</v>
      </c>
      <c r="G29" s="545"/>
      <c r="H29" s="474">
        <f t="shared" si="9"/>
        <v>11</v>
      </c>
      <c r="I29" s="472">
        <f t="shared" si="10"/>
        <v>121</v>
      </c>
      <c r="J29" s="473">
        <f t="shared" si="11"/>
        <v>7</v>
      </c>
    </row>
    <row r="30" spans="2:10" x14ac:dyDescent="0.25">
      <c r="B30" t="s">
        <v>365</v>
      </c>
      <c r="C30" t="str">
        <f t="shared" si="6"/>
        <v xml:space="preserve"> 12</v>
      </c>
      <c r="D30" t="str">
        <f t="shared" si="7"/>
        <v>131</v>
      </c>
      <c r="E30" t="str">
        <f t="shared" si="8"/>
        <v xml:space="preserve">  0</v>
      </c>
      <c r="G30" s="545"/>
      <c r="H30" s="53">
        <f t="shared" si="9"/>
        <v>12</v>
      </c>
      <c r="I30" s="345">
        <f t="shared" si="10"/>
        <v>131</v>
      </c>
      <c r="J30" s="469">
        <f t="shared" si="11"/>
        <v>0</v>
      </c>
    </row>
    <row r="31" spans="2:10" x14ac:dyDescent="0.25">
      <c r="B31" t="s">
        <v>366</v>
      </c>
      <c r="C31" t="str">
        <f t="shared" si="6"/>
        <v xml:space="preserve"> 13</v>
      </c>
      <c r="D31" t="str">
        <f t="shared" si="7"/>
        <v>136</v>
      </c>
      <c r="E31" t="str">
        <f t="shared" si="8"/>
        <v xml:space="preserve">  0</v>
      </c>
      <c r="G31" s="545"/>
      <c r="H31" s="53">
        <f t="shared" si="9"/>
        <v>13</v>
      </c>
      <c r="I31" s="345">
        <f t="shared" si="10"/>
        <v>136</v>
      </c>
      <c r="J31" s="469">
        <f t="shared" si="11"/>
        <v>0</v>
      </c>
    </row>
    <row r="32" spans="2:10" x14ac:dyDescent="0.25">
      <c r="B32" t="s">
        <v>367</v>
      </c>
      <c r="C32" t="str">
        <f t="shared" si="6"/>
        <v xml:space="preserve"> 14</v>
      </c>
      <c r="D32" t="str">
        <f t="shared" si="7"/>
        <v>137</v>
      </c>
      <c r="E32" t="str">
        <f t="shared" si="8"/>
        <v xml:space="preserve">  0</v>
      </c>
      <c r="G32" s="545"/>
      <c r="H32" s="53">
        <f t="shared" si="9"/>
        <v>14</v>
      </c>
      <c r="I32" s="345">
        <f t="shared" si="10"/>
        <v>137</v>
      </c>
      <c r="J32" s="469">
        <f t="shared" si="11"/>
        <v>0</v>
      </c>
    </row>
    <row r="33" spans="2:10" x14ac:dyDescent="0.25">
      <c r="B33" t="s">
        <v>368</v>
      </c>
      <c r="C33" t="str">
        <f t="shared" si="6"/>
        <v xml:space="preserve"> 15</v>
      </c>
      <c r="D33" t="str">
        <f t="shared" si="7"/>
        <v>125</v>
      </c>
      <c r="E33" t="str">
        <f t="shared" si="8"/>
        <v xml:space="preserve">  0</v>
      </c>
      <c r="G33" s="546"/>
      <c r="H33" s="55">
        <f t="shared" si="9"/>
        <v>15</v>
      </c>
      <c r="I33" s="346">
        <f t="shared" si="10"/>
        <v>125</v>
      </c>
      <c r="J33" s="470">
        <f t="shared" si="11"/>
        <v>0</v>
      </c>
    </row>
  </sheetData>
  <mergeCells count="4">
    <mergeCell ref="G2:J2"/>
    <mergeCell ref="G4:G13"/>
    <mergeCell ref="G14:G23"/>
    <mergeCell ref="G24:G3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60"/>
  <sheetViews>
    <sheetView zoomScaleNormal="100" workbookViewId="0">
      <selection activeCell="BB39" sqref="AY29:BB39"/>
    </sheetView>
  </sheetViews>
  <sheetFormatPr defaultRowHeight="12.75" x14ac:dyDescent="0.25"/>
  <cols>
    <col min="2" max="2" width="2.85546875" bestFit="1" customWidth="1"/>
    <col min="3" max="3" width="3.28515625" bestFit="1" customWidth="1"/>
    <col min="4" max="4" width="1.140625" customWidth="1"/>
    <col min="5" max="5" width="8.42578125" bestFit="1" customWidth="1"/>
    <col min="6" max="6" width="5.42578125" bestFit="1" customWidth="1"/>
    <col min="7" max="7" width="8" bestFit="1" customWidth="1"/>
    <col min="8" max="8" width="8.28515625" bestFit="1" customWidth="1"/>
    <col min="11" max="11" width="6.42578125" customWidth="1"/>
    <col min="12" max="13" width="6" customWidth="1"/>
    <col min="14" max="14" width="10" customWidth="1"/>
    <col min="15" max="15" width="10.140625" customWidth="1"/>
    <col min="18" max="18" width="12" bestFit="1" customWidth="1"/>
    <col min="19" max="19" width="6.85546875" customWidth="1"/>
    <col min="22" max="22" width="10.140625" bestFit="1" customWidth="1"/>
    <col min="23" max="23" width="11" bestFit="1" customWidth="1"/>
    <col min="24" max="24" width="10.7109375" bestFit="1" customWidth="1"/>
    <col min="37" max="37" width="1.85546875" style="170" customWidth="1"/>
    <col min="52" max="52" width="10.85546875" bestFit="1" customWidth="1"/>
  </cols>
  <sheetData>
    <row r="1" spans="1:54" x14ac:dyDescent="0.25">
      <c r="A1" t="s">
        <v>70</v>
      </c>
      <c r="K1" t="s">
        <v>80</v>
      </c>
      <c r="S1" s="489" t="s">
        <v>89</v>
      </c>
      <c r="T1" s="489"/>
      <c r="U1" s="489"/>
      <c r="V1" s="489"/>
      <c r="W1" s="489"/>
      <c r="X1" s="489"/>
      <c r="AH1" t="s">
        <v>132</v>
      </c>
      <c r="AT1" t="s">
        <v>144</v>
      </c>
    </row>
    <row r="2" spans="1:54" ht="14.25" x14ac:dyDescent="0.3">
      <c r="B2" s="487" t="s">
        <v>76</v>
      </c>
      <c r="C2" s="488"/>
      <c r="E2" s="489" t="s">
        <v>77</v>
      </c>
      <c r="F2" s="489"/>
      <c r="G2" s="489"/>
      <c r="H2" s="489"/>
      <c r="K2" s="489" t="s">
        <v>76</v>
      </c>
      <c r="L2" s="489"/>
      <c r="M2" s="489"/>
      <c r="N2" s="489"/>
      <c r="O2" s="489"/>
      <c r="P2" s="489"/>
      <c r="Q2" s="489"/>
      <c r="S2" s="489" t="s">
        <v>96</v>
      </c>
      <c r="T2" s="489"/>
      <c r="U2" s="489"/>
      <c r="V2" s="489" t="s">
        <v>97</v>
      </c>
      <c r="W2" s="489"/>
      <c r="X2" s="489"/>
      <c r="Z2" t="s">
        <v>128</v>
      </c>
      <c r="AH2" s="492" t="s">
        <v>76</v>
      </c>
      <c r="AI2" s="493"/>
      <c r="AJ2" s="494"/>
      <c r="AK2" s="175"/>
      <c r="AL2" s="492" t="s">
        <v>77</v>
      </c>
      <c r="AM2" s="493"/>
      <c r="AN2" s="493"/>
      <c r="AO2" s="493"/>
      <c r="AP2" s="494"/>
      <c r="AT2" s="492" t="s">
        <v>76</v>
      </c>
      <c r="AU2" s="493"/>
      <c r="AV2" s="494"/>
      <c r="AW2" s="175"/>
      <c r="AX2" s="492" t="s">
        <v>77</v>
      </c>
      <c r="AY2" s="493"/>
      <c r="AZ2" s="493"/>
      <c r="BA2" s="493"/>
      <c r="BB2" s="494"/>
    </row>
    <row r="3" spans="1:54" x14ac:dyDescent="0.25">
      <c r="B3" s="115" t="s">
        <v>71</v>
      </c>
      <c r="C3" s="115" t="s">
        <v>72</v>
      </c>
      <c r="E3" s="99" t="s">
        <v>74</v>
      </c>
      <c r="F3" s="99" t="s">
        <v>75</v>
      </c>
      <c r="G3" s="100" t="s">
        <v>78</v>
      </c>
      <c r="H3" s="101" t="s">
        <v>79</v>
      </c>
      <c r="K3" s="99" t="s">
        <v>71</v>
      </c>
      <c r="L3" s="99" t="s">
        <v>72</v>
      </c>
      <c r="M3" s="120" t="s">
        <v>81</v>
      </c>
      <c r="N3" s="120" t="s">
        <v>82</v>
      </c>
      <c r="O3" s="120" t="s">
        <v>83</v>
      </c>
      <c r="P3" s="120" t="s">
        <v>84</v>
      </c>
      <c r="Q3" s="120" t="s">
        <v>85</v>
      </c>
      <c r="S3" s="99" t="s">
        <v>71</v>
      </c>
      <c r="T3" s="99" t="s">
        <v>72</v>
      </c>
      <c r="U3" s="99" t="s">
        <v>88</v>
      </c>
      <c r="V3" s="99" t="s">
        <v>98</v>
      </c>
      <c r="W3" s="99" t="s">
        <v>99</v>
      </c>
      <c r="X3" s="99" t="s">
        <v>100</v>
      </c>
      <c r="Z3" t="s">
        <v>115</v>
      </c>
      <c r="AH3" s="115" t="s">
        <v>71</v>
      </c>
      <c r="AI3" s="115" t="s">
        <v>72</v>
      </c>
      <c r="AJ3" s="99" t="s">
        <v>88</v>
      </c>
      <c r="AK3" s="175"/>
      <c r="AL3" s="115" t="s">
        <v>74</v>
      </c>
      <c r="AM3" s="115" t="s">
        <v>75</v>
      </c>
      <c r="AN3" s="177" t="s">
        <v>78</v>
      </c>
      <c r="AO3" s="178" t="s">
        <v>79</v>
      </c>
      <c r="AP3" s="179" t="s">
        <v>133</v>
      </c>
      <c r="AT3" s="115" t="s">
        <v>71</v>
      </c>
      <c r="AU3" s="115" t="s">
        <v>72</v>
      </c>
      <c r="AV3" s="99" t="s">
        <v>88</v>
      </c>
      <c r="AW3" s="175"/>
      <c r="AX3" s="115" t="s">
        <v>74</v>
      </c>
      <c r="AY3" s="115" t="s">
        <v>75</v>
      </c>
      <c r="AZ3" s="177" t="s">
        <v>78</v>
      </c>
      <c r="BA3" s="178" t="s">
        <v>79</v>
      </c>
      <c r="BB3" s="179" t="s">
        <v>133</v>
      </c>
    </row>
    <row r="4" spans="1:54" x14ac:dyDescent="0.25">
      <c r="B4" s="102">
        <v>4</v>
      </c>
      <c r="C4" s="105">
        <v>5</v>
      </c>
      <c r="D4" s="1"/>
      <c r="E4" s="105">
        <v>-10</v>
      </c>
      <c r="F4" s="108">
        <f>1</f>
        <v>1</v>
      </c>
      <c r="G4" s="108"/>
      <c r="H4" s="105">
        <f>F4</f>
        <v>1</v>
      </c>
      <c r="I4" s="1"/>
      <c r="J4" s="1"/>
      <c r="K4" s="118">
        <v>-3</v>
      </c>
      <c r="L4" s="118">
        <v>-2</v>
      </c>
      <c r="M4" s="122">
        <f t="shared" ref="M4:M9" si="0">K4-L4</f>
        <v>-1</v>
      </c>
      <c r="N4" s="108">
        <f t="shared" ref="N4:N9" si="1">ABS(K4-L4)</f>
        <v>1</v>
      </c>
      <c r="O4" s="126">
        <v>1.5</v>
      </c>
      <c r="P4" s="126"/>
      <c r="Q4" s="128">
        <v>1.5</v>
      </c>
      <c r="S4" s="109">
        <v>43</v>
      </c>
      <c r="T4" s="108">
        <v>28</v>
      </c>
      <c r="U4" s="108">
        <v>38</v>
      </c>
      <c r="V4" s="108">
        <f>POWER(S4-$S$13,2)</f>
        <v>2.7777777777777697</v>
      </c>
      <c r="W4" s="108">
        <f>POWER(T4-$T$13,2)</f>
        <v>21.777777777777757</v>
      </c>
      <c r="X4" s="108">
        <f t="shared" ref="X4:X12" si="2">POWER(U4-$U$13,2)</f>
        <v>47.456790123456749</v>
      </c>
      <c r="AH4" s="102">
        <v>4</v>
      </c>
      <c r="AI4" s="105">
        <v>5</v>
      </c>
      <c r="AJ4" s="176">
        <v>11</v>
      </c>
      <c r="AK4" s="174"/>
      <c r="AL4" s="105">
        <v>-10</v>
      </c>
      <c r="AM4" s="108">
        <f>1</f>
        <v>1</v>
      </c>
      <c r="AN4" s="108"/>
      <c r="AO4" s="105">
        <f>AM4</f>
        <v>1</v>
      </c>
      <c r="AP4" s="108"/>
      <c r="AT4" s="188">
        <v>4</v>
      </c>
      <c r="AU4" s="163">
        <v>5</v>
      </c>
      <c r="AV4" s="176">
        <v>11</v>
      </c>
      <c r="AW4" s="174"/>
      <c r="AX4" s="105">
        <v>-10</v>
      </c>
      <c r="AY4" s="108">
        <f>1</f>
        <v>1</v>
      </c>
      <c r="AZ4" s="108"/>
      <c r="BA4" s="105">
        <f>AY4</f>
        <v>1</v>
      </c>
      <c r="BB4" s="108"/>
    </row>
    <row r="5" spans="1:54" ht="13.5" thickBot="1" x14ac:dyDescent="0.3">
      <c r="B5" s="103">
        <v>-3</v>
      </c>
      <c r="C5" s="106">
        <v>-2</v>
      </c>
      <c r="D5" s="1"/>
      <c r="E5" s="106">
        <v>-9</v>
      </c>
      <c r="F5" s="109">
        <f t="shared" ref="F5:F16" si="3">1+F4</f>
        <v>2</v>
      </c>
      <c r="G5" s="109"/>
      <c r="H5" s="106">
        <f>F5</f>
        <v>2</v>
      </c>
      <c r="I5" s="1"/>
      <c r="J5" s="1"/>
      <c r="K5" s="119">
        <v>-7</v>
      </c>
      <c r="L5" s="119">
        <v>6</v>
      </c>
      <c r="M5" s="123">
        <f t="shared" si="0"/>
        <v>-13</v>
      </c>
      <c r="N5" s="109">
        <f t="shared" si="1"/>
        <v>13</v>
      </c>
      <c r="O5" s="127">
        <v>4.5</v>
      </c>
      <c r="P5" s="127"/>
      <c r="Q5" s="129">
        <v>4.5</v>
      </c>
      <c r="S5" s="109">
        <v>25</v>
      </c>
      <c r="T5" s="109">
        <v>23</v>
      </c>
      <c r="U5" s="109">
        <v>34</v>
      </c>
      <c r="V5" s="109">
        <f t="shared" ref="V5:V12" si="4">POWER(S5-$S$13,2)</f>
        <v>266.77777777777783</v>
      </c>
      <c r="W5" s="109">
        <f t="shared" ref="W5:W12" si="5">POWER(T5-$T$13,2)</f>
        <v>93.4444444444444</v>
      </c>
      <c r="X5" s="109">
        <f t="shared" si="2"/>
        <v>118.56790123456783</v>
      </c>
      <c r="Z5" t="s">
        <v>116</v>
      </c>
      <c r="AH5" s="103">
        <v>-3</v>
      </c>
      <c r="AI5" s="106">
        <v>-2</v>
      </c>
      <c r="AJ5" s="124">
        <v>6</v>
      </c>
      <c r="AK5" s="174"/>
      <c r="AL5" s="106">
        <v>-9</v>
      </c>
      <c r="AM5" s="109">
        <f t="shared" ref="AM5:AM21" si="6">1+AM4</f>
        <v>2</v>
      </c>
      <c r="AN5" s="109"/>
      <c r="AO5" s="106">
        <f>AM5</f>
        <v>2</v>
      </c>
      <c r="AP5" s="109"/>
      <c r="AT5" s="189">
        <v>-3</v>
      </c>
      <c r="AU5" s="164">
        <v>-2</v>
      </c>
      <c r="AV5" s="124">
        <v>6</v>
      </c>
      <c r="AW5" s="174"/>
      <c r="AX5" s="106">
        <v>-9</v>
      </c>
      <c r="AY5" s="109">
        <f t="shared" ref="AY5:AY24" si="7">1+AY4</f>
        <v>2</v>
      </c>
      <c r="AZ5" s="109"/>
      <c r="BA5" s="106">
        <f>AY5</f>
        <v>2</v>
      </c>
      <c r="BB5" s="109"/>
    </row>
    <row r="6" spans="1:54" ht="13.5" x14ac:dyDescent="0.3">
      <c r="B6" s="103">
        <v>-7</v>
      </c>
      <c r="C6" s="106">
        <v>6</v>
      </c>
      <c r="D6" s="1"/>
      <c r="E6" s="103">
        <v>-7</v>
      </c>
      <c r="F6" s="109">
        <f t="shared" si="3"/>
        <v>3</v>
      </c>
      <c r="G6" s="103">
        <f>F6</f>
        <v>3</v>
      </c>
      <c r="H6" s="109"/>
      <c r="I6" s="1"/>
      <c r="J6" s="1"/>
      <c r="K6" s="119">
        <v>-5</v>
      </c>
      <c r="L6" s="119">
        <v>8</v>
      </c>
      <c r="M6" s="123">
        <f t="shared" si="0"/>
        <v>-13</v>
      </c>
      <c r="N6" s="109">
        <f t="shared" si="1"/>
        <v>13</v>
      </c>
      <c r="O6" s="127">
        <v>4.5</v>
      </c>
      <c r="P6" s="127"/>
      <c r="Q6" s="129">
        <v>4.5</v>
      </c>
      <c r="S6" s="109">
        <v>52</v>
      </c>
      <c r="T6" s="109">
        <v>33</v>
      </c>
      <c r="U6" s="109">
        <v>62</v>
      </c>
      <c r="V6" s="109">
        <f t="shared" si="4"/>
        <v>113.77777777777773</v>
      </c>
      <c r="W6" s="109">
        <f t="shared" si="5"/>
        <v>0.11111111111111269</v>
      </c>
      <c r="X6" s="109">
        <f t="shared" si="2"/>
        <v>292.79012345679024</v>
      </c>
      <c r="Z6" s="143" t="s">
        <v>117</v>
      </c>
      <c r="AA6" s="143" t="s">
        <v>118</v>
      </c>
      <c r="AB6" s="143" t="s">
        <v>3</v>
      </c>
      <c r="AC6" s="143" t="s">
        <v>119</v>
      </c>
      <c r="AD6" s="143" t="s">
        <v>120</v>
      </c>
      <c r="AH6" s="103">
        <v>-7</v>
      </c>
      <c r="AI6" s="106">
        <v>6</v>
      </c>
      <c r="AJ6" s="124">
        <v>5</v>
      </c>
      <c r="AK6" s="174"/>
      <c r="AL6" s="103">
        <v>-7</v>
      </c>
      <c r="AM6" s="109">
        <f t="shared" si="6"/>
        <v>3</v>
      </c>
      <c r="AN6" s="103">
        <f>AM6</f>
        <v>3</v>
      </c>
      <c r="AO6" s="109"/>
      <c r="AP6" s="109"/>
      <c r="AT6" s="189">
        <v>-7</v>
      </c>
      <c r="AU6" s="164">
        <v>6</v>
      </c>
      <c r="AV6" s="124">
        <v>5</v>
      </c>
      <c r="AW6" s="174"/>
      <c r="AX6" s="103">
        <v>-7</v>
      </c>
      <c r="AY6" s="109">
        <f t="shared" si="7"/>
        <v>3</v>
      </c>
      <c r="AZ6" s="103">
        <f>AY6</f>
        <v>3</v>
      </c>
      <c r="BA6" s="109"/>
      <c r="BB6" s="109"/>
    </row>
    <row r="7" spans="1:54" x14ac:dyDescent="0.25">
      <c r="B7" s="103">
        <v>-5</v>
      </c>
      <c r="C7" s="106">
        <v>8</v>
      </c>
      <c r="D7" s="1"/>
      <c r="E7" s="103">
        <v>-6</v>
      </c>
      <c r="F7" s="109">
        <f t="shared" si="3"/>
        <v>4</v>
      </c>
      <c r="G7" s="103">
        <f>F7</f>
        <v>4</v>
      </c>
      <c r="H7" s="109"/>
      <c r="I7" s="1"/>
      <c r="J7" s="1"/>
      <c r="K7" s="119">
        <v>12</v>
      </c>
      <c r="L7" s="119">
        <v>-9</v>
      </c>
      <c r="M7" s="124">
        <f t="shared" si="0"/>
        <v>21</v>
      </c>
      <c r="N7" s="109">
        <f t="shared" si="1"/>
        <v>21</v>
      </c>
      <c r="O7" s="119">
        <v>6</v>
      </c>
      <c r="P7" s="124">
        <v>6</v>
      </c>
      <c r="Q7" s="119"/>
      <c r="S7" s="109">
        <v>60</v>
      </c>
      <c r="T7" s="109">
        <v>49</v>
      </c>
      <c r="U7" s="109">
        <v>25</v>
      </c>
      <c r="V7" s="109">
        <f t="shared" si="4"/>
        <v>348.44444444444434</v>
      </c>
      <c r="W7" s="109">
        <f t="shared" si="5"/>
        <v>266.77777777777783</v>
      </c>
      <c r="X7" s="109">
        <f t="shared" si="2"/>
        <v>395.56790123456778</v>
      </c>
      <c r="Z7" s="49" t="s">
        <v>121</v>
      </c>
      <c r="AA7" s="49">
        <v>9</v>
      </c>
      <c r="AB7" s="49">
        <v>372</v>
      </c>
      <c r="AC7" s="49">
        <v>41.333333333333336</v>
      </c>
      <c r="AD7" s="49">
        <v>134</v>
      </c>
      <c r="AH7" s="103">
        <v>-5</v>
      </c>
      <c r="AI7" s="106">
        <v>8</v>
      </c>
      <c r="AJ7" s="124">
        <v>7</v>
      </c>
      <c r="AK7" s="174"/>
      <c r="AL7" s="103">
        <v>-6</v>
      </c>
      <c r="AM7" s="109">
        <f t="shared" si="6"/>
        <v>4</v>
      </c>
      <c r="AN7" s="103">
        <f>AM7</f>
        <v>4</v>
      </c>
      <c r="AO7" s="109"/>
      <c r="AP7" s="109"/>
      <c r="AT7" s="189">
        <v>-5</v>
      </c>
      <c r="AU7" s="164">
        <v>8</v>
      </c>
      <c r="AV7" s="124">
        <v>7</v>
      </c>
      <c r="AW7" s="174"/>
      <c r="AX7" s="103">
        <v>-6</v>
      </c>
      <c r="AY7" s="109">
        <f t="shared" si="7"/>
        <v>4</v>
      </c>
      <c r="AZ7" s="103">
        <f>AY7</f>
        <v>4</v>
      </c>
      <c r="BA7" s="109"/>
      <c r="BB7" s="109"/>
    </row>
    <row r="8" spans="1:54" x14ac:dyDescent="0.25">
      <c r="B8" s="103">
        <v>12</v>
      </c>
      <c r="C8" s="106">
        <v>-9</v>
      </c>
      <c r="D8" s="1"/>
      <c r="E8" s="103">
        <v>-5</v>
      </c>
      <c r="F8" s="109">
        <f t="shared" si="3"/>
        <v>5</v>
      </c>
      <c r="G8" s="103">
        <f>F8</f>
        <v>5</v>
      </c>
      <c r="H8" s="109"/>
      <c r="I8" s="1"/>
      <c r="J8" s="1"/>
      <c r="K8" s="119">
        <v>4</v>
      </c>
      <c r="L8" s="119">
        <v>5</v>
      </c>
      <c r="M8" s="123">
        <f t="shared" si="0"/>
        <v>-1</v>
      </c>
      <c r="N8" s="109">
        <f t="shared" si="1"/>
        <v>1</v>
      </c>
      <c r="O8" s="127">
        <v>1.5</v>
      </c>
      <c r="P8" s="127"/>
      <c r="Q8" s="129">
        <v>1.5</v>
      </c>
      <c r="S8" s="109">
        <v>40</v>
      </c>
      <c r="T8" s="109">
        <v>35</v>
      </c>
      <c r="U8" s="109">
        <v>51</v>
      </c>
      <c r="V8" s="109">
        <f t="shared" si="4"/>
        <v>1.7777777777777841</v>
      </c>
      <c r="W8" s="109">
        <f t="shared" si="5"/>
        <v>5.4444444444444553</v>
      </c>
      <c r="X8" s="109">
        <f t="shared" si="2"/>
        <v>37.34567901234572</v>
      </c>
      <c r="Z8" s="49" t="s">
        <v>122</v>
      </c>
      <c r="AA8" s="49">
        <v>9</v>
      </c>
      <c r="AB8" s="49">
        <v>294</v>
      </c>
      <c r="AC8" s="49">
        <v>32.666666666666664</v>
      </c>
      <c r="AD8" s="49">
        <v>79.25</v>
      </c>
      <c r="AH8" s="103">
        <v>12</v>
      </c>
      <c r="AI8" s="106">
        <v>-9</v>
      </c>
      <c r="AJ8" s="124">
        <v>13</v>
      </c>
      <c r="AK8" s="174"/>
      <c r="AL8" s="103">
        <v>-5</v>
      </c>
      <c r="AM8" s="109">
        <f t="shared" si="6"/>
        <v>5</v>
      </c>
      <c r="AN8" s="103">
        <f>AM8</f>
        <v>5</v>
      </c>
      <c r="AO8" s="109"/>
      <c r="AP8" s="109"/>
      <c r="AT8" s="189">
        <v>12</v>
      </c>
      <c r="AU8" s="164">
        <v>-9</v>
      </c>
      <c r="AV8" s="124">
        <v>13</v>
      </c>
      <c r="AW8" s="174"/>
      <c r="AX8" s="103">
        <v>-5</v>
      </c>
      <c r="AY8" s="109">
        <f t="shared" si="7"/>
        <v>5</v>
      </c>
      <c r="AZ8" s="103">
        <f>AY8</f>
        <v>5</v>
      </c>
      <c r="BA8" s="109"/>
      <c r="BB8" s="109"/>
    </row>
    <row r="9" spans="1:54" ht="13.5" thickBot="1" x14ac:dyDescent="0.3">
      <c r="B9" s="103">
        <v>-6</v>
      </c>
      <c r="C9" s="106">
        <v>-10</v>
      </c>
      <c r="D9" s="1"/>
      <c r="E9" s="103">
        <v>-3</v>
      </c>
      <c r="F9" s="109">
        <f t="shared" si="3"/>
        <v>6</v>
      </c>
      <c r="G9" s="103">
        <f>F9</f>
        <v>6</v>
      </c>
      <c r="H9" s="109"/>
      <c r="I9" s="1"/>
      <c r="J9" s="1"/>
      <c r="K9" s="121">
        <v>-6</v>
      </c>
      <c r="L9" s="121">
        <v>-10</v>
      </c>
      <c r="M9" s="125">
        <f t="shared" si="0"/>
        <v>4</v>
      </c>
      <c r="N9" s="110">
        <f t="shared" si="1"/>
        <v>4</v>
      </c>
      <c r="O9" s="121">
        <v>3</v>
      </c>
      <c r="P9" s="125">
        <v>3</v>
      </c>
      <c r="Q9" s="121"/>
      <c r="S9" s="109">
        <v>27</v>
      </c>
      <c r="T9" s="109">
        <v>20</v>
      </c>
      <c r="U9" s="109">
        <v>54</v>
      </c>
      <c r="V9" s="109">
        <f t="shared" si="4"/>
        <v>205.44444444444451</v>
      </c>
      <c r="W9" s="109">
        <f t="shared" si="5"/>
        <v>160.44444444444437</v>
      </c>
      <c r="X9" s="109">
        <f t="shared" si="2"/>
        <v>83.012345679012398</v>
      </c>
      <c r="Z9" s="142" t="s">
        <v>123</v>
      </c>
      <c r="AA9" s="142">
        <v>9</v>
      </c>
      <c r="AB9" s="142">
        <v>404</v>
      </c>
      <c r="AC9" s="142">
        <v>44.888888888888886</v>
      </c>
      <c r="AD9" s="142">
        <v>126.11111111111131</v>
      </c>
      <c r="AH9" s="104">
        <v>-6</v>
      </c>
      <c r="AI9" s="107">
        <v>-10</v>
      </c>
      <c r="AJ9" s="125">
        <v>2</v>
      </c>
      <c r="AK9" s="174"/>
      <c r="AL9" s="103">
        <v>-3</v>
      </c>
      <c r="AM9" s="109">
        <f t="shared" si="6"/>
        <v>6</v>
      </c>
      <c r="AN9" s="103">
        <f>AM9</f>
        <v>6</v>
      </c>
      <c r="AO9" s="109"/>
      <c r="AP9" s="109"/>
      <c r="AT9" s="187">
        <v>-6</v>
      </c>
      <c r="AU9" s="164">
        <v>-10</v>
      </c>
      <c r="AV9" s="124">
        <v>2</v>
      </c>
      <c r="AW9" s="174"/>
      <c r="AX9" s="106">
        <v>-4</v>
      </c>
      <c r="AY9" s="109">
        <f t="shared" si="7"/>
        <v>6</v>
      </c>
      <c r="AZ9" s="119"/>
      <c r="BA9" s="106">
        <v>6</v>
      </c>
      <c r="BB9" s="109"/>
    </row>
    <row r="10" spans="1:54" ht="14.25" x14ac:dyDescent="0.3">
      <c r="B10" s="110"/>
      <c r="C10" s="107">
        <v>7</v>
      </c>
      <c r="D10" s="1"/>
      <c r="E10" s="106">
        <v>-2</v>
      </c>
      <c r="F10" s="109">
        <f t="shared" si="3"/>
        <v>7</v>
      </c>
      <c r="G10" s="109"/>
      <c r="H10" s="106">
        <f>F10</f>
        <v>7</v>
      </c>
      <c r="I10" s="1"/>
      <c r="J10" s="1"/>
      <c r="K10" s="116"/>
      <c r="L10" s="117"/>
      <c r="M10" s="117"/>
      <c r="O10" s="130" t="s">
        <v>73</v>
      </c>
      <c r="P10" s="131">
        <f>SUM(P4:P9)</f>
        <v>9</v>
      </c>
      <c r="Q10" s="131">
        <f>SUM(Q4:Q9)</f>
        <v>12</v>
      </c>
      <c r="S10" s="109">
        <v>36</v>
      </c>
      <c r="T10" s="109">
        <v>40</v>
      </c>
      <c r="U10" s="109">
        <v>47</v>
      </c>
      <c r="V10" s="109">
        <f t="shared" si="4"/>
        <v>28.444444444444471</v>
      </c>
      <c r="W10" s="109">
        <f t="shared" si="5"/>
        <v>53.777777777777814</v>
      </c>
      <c r="X10" s="109">
        <f t="shared" si="2"/>
        <v>4.4567901234568037</v>
      </c>
      <c r="AH10" s="174"/>
      <c r="AI10" s="174"/>
      <c r="AJ10" s="174"/>
      <c r="AK10" s="174"/>
      <c r="AL10" s="106">
        <v>-2</v>
      </c>
      <c r="AM10" s="109">
        <f t="shared" si="6"/>
        <v>7</v>
      </c>
      <c r="AN10" s="109"/>
      <c r="AO10" s="106">
        <f>AM10</f>
        <v>7</v>
      </c>
      <c r="AP10" s="109"/>
      <c r="AT10" s="174"/>
      <c r="AU10" s="165">
        <v>-4</v>
      </c>
      <c r="AV10" s="124">
        <v>8</v>
      </c>
      <c r="AW10" s="174"/>
      <c r="AX10" s="103">
        <v>-3</v>
      </c>
      <c r="AY10" s="109">
        <f t="shared" si="7"/>
        <v>7</v>
      </c>
      <c r="AZ10" s="103">
        <f>AY10</f>
        <v>7</v>
      </c>
      <c r="BA10" s="109"/>
      <c r="BB10" s="109"/>
    </row>
    <row r="11" spans="1:54" x14ac:dyDescent="0.25">
      <c r="B11" s="1"/>
      <c r="C11" s="1"/>
      <c r="D11" s="1"/>
      <c r="E11" s="103">
        <v>4</v>
      </c>
      <c r="F11" s="109">
        <f t="shared" si="3"/>
        <v>8</v>
      </c>
      <c r="G11" s="103">
        <f>F11</f>
        <v>8</v>
      </c>
      <c r="H11" s="109"/>
      <c r="I11" s="1"/>
      <c r="J11" s="1"/>
      <c r="S11" s="109">
        <v>51</v>
      </c>
      <c r="T11" s="109">
        <v>37</v>
      </c>
      <c r="U11" s="109">
        <v>50</v>
      </c>
      <c r="V11" s="109">
        <f t="shared" si="4"/>
        <v>93.4444444444444</v>
      </c>
      <c r="W11" s="109">
        <f t="shared" si="5"/>
        <v>18.7777777777778</v>
      </c>
      <c r="X11" s="109">
        <f t="shared" si="2"/>
        <v>26.123456790123488</v>
      </c>
      <c r="AH11" s="174"/>
      <c r="AI11" s="174"/>
      <c r="AJ11" s="174"/>
      <c r="AK11" s="174"/>
      <c r="AL11" s="124">
        <v>2</v>
      </c>
      <c r="AM11" s="109">
        <f t="shared" si="6"/>
        <v>8</v>
      </c>
      <c r="AN11" s="171"/>
      <c r="AO11" s="171"/>
      <c r="AP11" s="124">
        <v>8</v>
      </c>
      <c r="AT11" s="174"/>
      <c r="AU11" s="174"/>
      <c r="AV11" s="125">
        <v>1</v>
      </c>
      <c r="AW11" s="174"/>
      <c r="AX11" s="106">
        <v>-2</v>
      </c>
      <c r="AY11" s="109">
        <f t="shared" si="7"/>
        <v>8</v>
      </c>
      <c r="AZ11" s="109"/>
      <c r="BA11" s="106">
        <f>AY11</f>
        <v>8</v>
      </c>
      <c r="BB11" s="109"/>
    </row>
    <row r="12" spans="1:54" ht="13.5" thickBot="1" x14ac:dyDescent="0.3">
      <c r="B12" s="1"/>
      <c r="C12" s="1"/>
      <c r="D12" s="1"/>
      <c r="E12" s="106">
        <v>5</v>
      </c>
      <c r="F12" s="109">
        <f t="shared" si="3"/>
        <v>9</v>
      </c>
      <c r="G12" s="109"/>
      <c r="H12" s="106">
        <f>F12</f>
        <v>9</v>
      </c>
      <c r="I12" s="1"/>
      <c r="J12" s="1"/>
      <c r="S12" s="110">
        <v>38</v>
      </c>
      <c r="T12" s="110">
        <v>29</v>
      </c>
      <c r="U12" s="110">
        <v>43</v>
      </c>
      <c r="V12" s="110">
        <f t="shared" si="4"/>
        <v>11.111111111111127</v>
      </c>
      <c r="W12" s="110">
        <f t="shared" si="5"/>
        <v>13.444444444444427</v>
      </c>
      <c r="X12" s="110">
        <f t="shared" si="2"/>
        <v>3.5679012345678891</v>
      </c>
      <c r="Z12" t="s">
        <v>124</v>
      </c>
      <c r="AF12" s="74"/>
      <c r="AH12" s="174"/>
      <c r="AI12" s="174"/>
      <c r="AJ12" s="174"/>
      <c r="AK12" s="172"/>
      <c r="AL12" s="103">
        <v>4</v>
      </c>
      <c r="AM12" s="109">
        <f t="shared" si="6"/>
        <v>9</v>
      </c>
      <c r="AN12" s="103">
        <v>9</v>
      </c>
      <c r="AO12" s="171"/>
      <c r="AP12" s="171"/>
      <c r="AT12" s="174"/>
      <c r="AU12" s="174"/>
      <c r="AV12" s="174"/>
      <c r="AW12" s="172"/>
      <c r="AX12" s="124">
        <v>1</v>
      </c>
      <c r="AY12" s="109">
        <f t="shared" si="7"/>
        <v>9</v>
      </c>
      <c r="AZ12" s="109"/>
      <c r="BA12" s="119"/>
      <c r="BB12" s="124">
        <v>9</v>
      </c>
    </row>
    <row r="13" spans="1:54" ht="13.5" x14ac:dyDescent="0.3">
      <c r="B13" s="1"/>
      <c r="C13" s="1"/>
      <c r="D13" s="1"/>
      <c r="E13" s="106">
        <v>6</v>
      </c>
      <c r="F13" s="109">
        <f t="shared" si="3"/>
        <v>10</v>
      </c>
      <c r="G13" s="109"/>
      <c r="H13" s="106">
        <f>F13</f>
        <v>10</v>
      </c>
      <c r="I13" s="1"/>
      <c r="J13" s="1"/>
      <c r="K13" s="1"/>
      <c r="L13" s="1"/>
      <c r="M13" s="1"/>
      <c r="R13" s="99" t="s">
        <v>64</v>
      </c>
      <c r="S13" s="134">
        <f>AVERAGE(S4:S12)</f>
        <v>41.333333333333336</v>
      </c>
      <c r="T13" s="134">
        <f>AVERAGE(T4:T12)</f>
        <v>32.666666666666664</v>
      </c>
      <c r="U13" s="134">
        <f>AVERAGE(U4:U12)</f>
        <v>44.888888888888886</v>
      </c>
      <c r="V13" s="108"/>
      <c r="W13" s="108"/>
      <c r="X13" s="108"/>
      <c r="Z13" s="143" t="s">
        <v>125</v>
      </c>
      <c r="AA13" s="143" t="s">
        <v>108</v>
      </c>
      <c r="AB13" s="143" t="s">
        <v>32</v>
      </c>
      <c r="AC13" s="143" t="s">
        <v>109</v>
      </c>
      <c r="AD13" s="143" t="s">
        <v>95</v>
      </c>
      <c r="AE13" s="143" t="s">
        <v>110</v>
      </c>
      <c r="AF13" s="547"/>
      <c r="AH13" s="1"/>
      <c r="AI13" s="1"/>
      <c r="AJ13" s="1"/>
      <c r="AK13" s="172"/>
      <c r="AL13" s="106">
        <v>5</v>
      </c>
      <c r="AM13" s="109">
        <f t="shared" si="6"/>
        <v>10</v>
      </c>
      <c r="AN13" s="171"/>
      <c r="AO13" s="190">
        <v>10.5</v>
      </c>
      <c r="AP13" s="191"/>
      <c r="AT13" s="1"/>
      <c r="AU13" s="1"/>
      <c r="AV13" s="1"/>
      <c r="AW13" s="172"/>
      <c r="AX13" s="124">
        <v>2</v>
      </c>
      <c r="AY13" s="109">
        <f t="shared" si="7"/>
        <v>10</v>
      </c>
      <c r="AZ13" s="171"/>
      <c r="BA13" s="171"/>
      <c r="BB13" s="124">
        <v>10</v>
      </c>
    </row>
    <row r="14" spans="1:54" x14ac:dyDescent="0.25">
      <c r="B14" s="1"/>
      <c r="C14" s="1"/>
      <c r="D14" s="1"/>
      <c r="E14" s="106">
        <v>7</v>
      </c>
      <c r="F14" s="109">
        <f t="shared" si="3"/>
        <v>11</v>
      </c>
      <c r="G14" s="109"/>
      <c r="H14" s="106">
        <v>11</v>
      </c>
      <c r="I14" s="1"/>
      <c r="J14" s="1"/>
      <c r="K14" s="1"/>
      <c r="L14" s="1"/>
      <c r="M14" s="1"/>
      <c r="R14" s="99" t="s">
        <v>90</v>
      </c>
      <c r="S14" s="134">
        <f>AVERAGE(S13:U13)</f>
        <v>39.629629629629626</v>
      </c>
      <c r="T14" s="134">
        <f>S14</f>
        <v>39.629629629629626</v>
      </c>
      <c r="U14" s="134">
        <f>S14</f>
        <v>39.629629629629626</v>
      </c>
      <c r="V14" s="109"/>
      <c r="W14" s="109"/>
      <c r="X14" s="109"/>
      <c r="Z14" s="49" t="s">
        <v>126</v>
      </c>
      <c r="AA14" s="49">
        <v>711.40740740740785</v>
      </c>
      <c r="AB14" s="49">
        <v>2</v>
      </c>
      <c r="AC14" s="49">
        <v>355.70370370370392</v>
      </c>
      <c r="AD14" s="49">
        <v>3.1444708193500879</v>
      </c>
      <c r="AE14" s="49">
        <v>6.125276806999301E-2</v>
      </c>
      <c r="AF14" s="49"/>
      <c r="AH14" s="1"/>
      <c r="AI14" s="1"/>
      <c r="AJ14" s="1"/>
      <c r="AK14" s="172"/>
      <c r="AL14" s="124">
        <v>5</v>
      </c>
      <c r="AM14" s="109">
        <f t="shared" si="6"/>
        <v>11</v>
      </c>
      <c r="AN14" s="109"/>
      <c r="AO14" s="192"/>
      <c r="AP14" s="193">
        <v>10.5</v>
      </c>
      <c r="AT14" s="1"/>
      <c r="AU14" s="1"/>
      <c r="AV14" s="1"/>
      <c r="AW14" s="172"/>
      <c r="AX14" s="103">
        <v>4</v>
      </c>
      <c r="AY14" s="109">
        <f t="shared" si="7"/>
        <v>11</v>
      </c>
      <c r="AZ14" s="103">
        <v>11</v>
      </c>
      <c r="BA14" s="171"/>
      <c r="BB14" s="171"/>
    </row>
    <row r="15" spans="1:54" x14ac:dyDescent="0.25">
      <c r="B15" s="1"/>
      <c r="C15" s="1"/>
      <c r="D15" s="1"/>
      <c r="E15" s="106">
        <v>8</v>
      </c>
      <c r="F15" s="109">
        <f t="shared" si="3"/>
        <v>12</v>
      </c>
      <c r="G15" s="109"/>
      <c r="H15" s="106">
        <f>F15</f>
        <v>12</v>
      </c>
      <c r="I15" s="1"/>
      <c r="J15" s="1"/>
      <c r="K15" s="1"/>
      <c r="L15" s="1"/>
      <c r="M15" s="1"/>
      <c r="R15" s="99" t="s">
        <v>91</v>
      </c>
      <c r="S15" s="134">
        <f>S13-S14</f>
        <v>1.7037037037037095</v>
      </c>
      <c r="T15" s="134">
        <f>T13-T14</f>
        <v>-6.9629629629629619</v>
      </c>
      <c r="U15" s="134">
        <f>U13-U14</f>
        <v>5.2592592592592595</v>
      </c>
      <c r="V15" s="135"/>
      <c r="W15" s="135"/>
      <c r="X15" s="135"/>
      <c r="Z15" s="49" t="s">
        <v>127</v>
      </c>
      <c r="AA15" s="49">
        <v>2714.8888888888887</v>
      </c>
      <c r="AB15" s="49">
        <v>24</v>
      </c>
      <c r="AC15" s="49">
        <v>113.12037037037037</v>
      </c>
      <c r="AD15" s="49"/>
      <c r="AE15" s="49"/>
      <c r="AF15" s="49"/>
      <c r="AH15" s="1"/>
      <c r="AI15" s="1"/>
      <c r="AJ15" s="1"/>
      <c r="AK15" s="172"/>
      <c r="AL15" s="106">
        <v>6</v>
      </c>
      <c r="AM15" s="109">
        <f t="shared" si="6"/>
        <v>12</v>
      </c>
      <c r="AN15" s="109"/>
      <c r="AO15" s="190">
        <v>12.5</v>
      </c>
      <c r="AP15" s="192"/>
      <c r="AT15" s="1"/>
      <c r="AU15" s="1"/>
      <c r="AV15" s="1"/>
      <c r="AW15" s="172"/>
      <c r="AX15" s="106">
        <v>5</v>
      </c>
      <c r="AY15" s="109">
        <f t="shared" si="7"/>
        <v>12</v>
      </c>
      <c r="AZ15" s="171"/>
      <c r="BA15" s="190">
        <v>12.5</v>
      </c>
      <c r="BB15" s="191"/>
    </row>
    <row r="16" spans="1:54" x14ac:dyDescent="0.25">
      <c r="B16" s="1"/>
      <c r="C16" s="1"/>
      <c r="D16" s="1"/>
      <c r="E16" s="104">
        <v>12</v>
      </c>
      <c r="F16" s="109">
        <f t="shared" si="3"/>
        <v>13</v>
      </c>
      <c r="G16" s="104">
        <f>F16</f>
        <v>13</v>
      </c>
      <c r="H16" s="110"/>
      <c r="I16" s="1"/>
      <c r="J16" s="1"/>
      <c r="K16" s="1"/>
      <c r="L16" s="1"/>
      <c r="M16" s="1"/>
      <c r="R16" s="99" t="s">
        <v>92</v>
      </c>
      <c r="S16" s="136">
        <f>S15*S15</f>
        <v>2.9026063100137374</v>
      </c>
      <c r="T16" s="136">
        <f>T15*T15</f>
        <v>48.482853223593949</v>
      </c>
      <c r="U16" s="136">
        <f>U15*U15</f>
        <v>27.659807956104256</v>
      </c>
      <c r="V16" s="109"/>
      <c r="W16" s="109"/>
      <c r="X16" s="109"/>
      <c r="Z16" s="49"/>
      <c r="AA16" s="49"/>
      <c r="AB16" s="49"/>
      <c r="AC16" s="49"/>
      <c r="AD16" s="49"/>
      <c r="AE16" s="49"/>
      <c r="AF16" s="49"/>
      <c r="AH16" s="1"/>
      <c r="AI16" s="1"/>
      <c r="AJ16" s="1"/>
      <c r="AK16" s="172"/>
      <c r="AL16" s="124">
        <v>6</v>
      </c>
      <c r="AM16" s="109">
        <f t="shared" si="6"/>
        <v>13</v>
      </c>
      <c r="AN16" s="171"/>
      <c r="AO16" s="192"/>
      <c r="AP16" s="193">
        <v>12.5</v>
      </c>
      <c r="AT16" s="1"/>
      <c r="AU16" s="1"/>
      <c r="AV16" s="1"/>
      <c r="AW16" s="172"/>
      <c r="AX16" s="124">
        <v>5</v>
      </c>
      <c r="AY16" s="109">
        <f t="shared" si="7"/>
        <v>13</v>
      </c>
      <c r="AZ16" s="109"/>
      <c r="BA16" s="192"/>
      <c r="BB16" s="193">
        <v>12.5</v>
      </c>
    </row>
    <row r="17" spans="2:54" ht="15" thickBot="1" x14ac:dyDescent="0.35">
      <c r="B17" s="1"/>
      <c r="C17" s="1"/>
      <c r="D17" s="1"/>
      <c r="E17" s="111"/>
      <c r="F17" s="112" t="s">
        <v>73</v>
      </c>
      <c r="G17" s="113">
        <f>SUM(G4:G16)</f>
        <v>39</v>
      </c>
      <c r="H17" s="114">
        <f>SUM(H4:H16)</f>
        <v>52</v>
      </c>
      <c r="I17" s="1"/>
      <c r="J17" s="1"/>
      <c r="K17" s="1"/>
      <c r="L17" s="1"/>
      <c r="M17" s="1"/>
      <c r="R17" s="99" t="s">
        <v>73</v>
      </c>
      <c r="S17" s="491">
        <f>SUM(S16:U16)</f>
        <v>79.045267489711946</v>
      </c>
      <c r="T17" s="491"/>
      <c r="U17" s="491"/>
      <c r="V17" s="111">
        <f>SUM(V4:V12)</f>
        <v>1072</v>
      </c>
      <c r="W17" s="111">
        <f>SUM(W4:W12)</f>
        <v>634</v>
      </c>
      <c r="X17" s="111">
        <f>SUM(X4:X12)</f>
        <v>1008.8888888888888</v>
      </c>
      <c r="Z17" s="142" t="s">
        <v>0</v>
      </c>
      <c r="AA17" s="142">
        <v>3426.2962962962965</v>
      </c>
      <c r="AB17" s="142">
        <v>26</v>
      </c>
      <c r="AC17" s="142"/>
      <c r="AD17" s="142"/>
      <c r="AE17" s="142"/>
      <c r="AF17" s="49"/>
      <c r="AH17" s="1"/>
      <c r="AI17" s="1"/>
      <c r="AJ17" s="1"/>
      <c r="AK17" s="172"/>
      <c r="AL17" s="124">
        <v>7</v>
      </c>
      <c r="AM17" s="109">
        <f t="shared" si="6"/>
        <v>14</v>
      </c>
      <c r="AN17" s="171"/>
      <c r="AO17" s="171"/>
      <c r="AP17" s="124">
        <v>14</v>
      </c>
      <c r="AT17" s="1"/>
      <c r="AU17" s="1"/>
      <c r="AV17" s="1"/>
      <c r="AW17" s="172"/>
      <c r="AX17" s="106">
        <v>6</v>
      </c>
      <c r="AY17" s="109">
        <f t="shared" si="7"/>
        <v>14</v>
      </c>
      <c r="AZ17" s="109"/>
      <c r="BA17" s="190">
        <v>14.5</v>
      </c>
      <c r="BB17" s="192"/>
    </row>
    <row r="18" spans="2:54" x14ac:dyDescent="0.25">
      <c r="B18" s="1"/>
      <c r="C18" s="1"/>
      <c r="D18" s="1"/>
      <c r="E18" s="1" t="str">
        <f>G3</f>
        <v>X1 orders</v>
      </c>
      <c r="F18" s="1"/>
      <c r="G18" s="1"/>
      <c r="H18" s="1"/>
      <c r="I18" s="1"/>
      <c r="J18" s="1"/>
      <c r="K18" s="1"/>
      <c r="L18" s="1"/>
      <c r="M18" s="1"/>
      <c r="R18" s="99" t="s">
        <v>93</v>
      </c>
      <c r="S18" s="491">
        <f>S17*9</f>
        <v>711.4074074074075</v>
      </c>
      <c r="T18" s="491"/>
      <c r="U18" s="491"/>
      <c r="V18" s="496">
        <f>SUM(V17:X17)</f>
        <v>2714.8888888888887</v>
      </c>
      <c r="W18" s="496"/>
      <c r="X18" s="496"/>
      <c r="AF18" s="74"/>
      <c r="AL18" s="106">
        <v>8</v>
      </c>
      <c r="AM18" s="109">
        <f t="shared" si="6"/>
        <v>15</v>
      </c>
      <c r="AN18" s="109"/>
      <c r="AO18" s="106">
        <v>15</v>
      </c>
      <c r="AP18" s="109"/>
      <c r="AW18" s="170"/>
      <c r="AX18" s="124">
        <v>6</v>
      </c>
      <c r="AY18" s="109">
        <f t="shared" si="7"/>
        <v>15</v>
      </c>
      <c r="AZ18" s="171"/>
      <c r="BA18" s="192"/>
      <c r="BB18" s="193">
        <v>14.5</v>
      </c>
    </row>
    <row r="19" spans="2:54" x14ac:dyDescent="0.25"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R19" s="99" t="s">
        <v>94</v>
      </c>
      <c r="S19" s="491">
        <f>S18/2</f>
        <v>355.70370370370375</v>
      </c>
      <c r="T19" s="491"/>
      <c r="U19" s="491"/>
      <c r="V19" s="496">
        <f>V18/24</f>
        <v>113.12037037037037</v>
      </c>
      <c r="W19" s="496"/>
      <c r="X19" s="496"/>
      <c r="AF19" s="74"/>
      <c r="AL19" s="124">
        <v>11</v>
      </c>
      <c r="AM19" s="109">
        <f t="shared" si="6"/>
        <v>16</v>
      </c>
      <c r="AN19" s="109"/>
      <c r="AO19" s="171"/>
      <c r="AP19" s="124">
        <v>16</v>
      </c>
      <c r="AW19" s="170"/>
      <c r="AX19" s="124">
        <v>7</v>
      </c>
      <c r="AY19" s="109">
        <f t="shared" si="7"/>
        <v>16</v>
      </c>
      <c r="AZ19" s="171"/>
      <c r="BA19" s="192"/>
      <c r="BB19" s="124">
        <v>16</v>
      </c>
    </row>
    <row r="20" spans="2:54" x14ac:dyDescent="0.25">
      <c r="B20" s="1"/>
      <c r="C20" s="1"/>
      <c r="D20" s="1"/>
      <c r="E20" s="1"/>
      <c r="F20" s="1"/>
      <c r="G20" s="1"/>
      <c r="H20" s="1"/>
      <c r="I20" s="1"/>
      <c r="J20" s="1"/>
      <c r="K20" s="1" t="s">
        <v>86</v>
      </c>
      <c r="L20" s="1"/>
      <c r="M20" s="1"/>
      <c r="R20" s="99" t="s">
        <v>95</v>
      </c>
      <c r="S20" s="495">
        <f>S19/V19</f>
        <v>3.1444708193500865</v>
      </c>
      <c r="T20" s="495"/>
      <c r="U20" s="495"/>
      <c r="V20" s="495"/>
      <c r="W20" s="495"/>
      <c r="X20" s="495"/>
      <c r="AF20" s="74"/>
      <c r="AL20" s="103">
        <v>12</v>
      </c>
      <c r="AM20" s="109">
        <f t="shared" si="6"/>
        <v>17</v>
      </c>
      <c r="AN20" s="103">
        <v>17</v>
      </c>
      <c r="AO20" s="171"/>
      <c r="AP20" s="109"/>
      <c r="AW20" s="170"/>
      <c r="AX20" s="124">
        <v>8</v>
      </c>
      <c r="AY20" s="109">
        <f t="shared" si="7"/>
        <v>17</v>
      </c>
      <c r="AZ20" s="171"/>
      <c r="BA20" s="192"/>
      <c r="BB20" s="193">
        <v>17.5</v>
      </c>
    </row>
    <row r="21" spans="2:54" ht="14.25" x14ac:dyDescent="0.3">
      <c r="B21" s="1"/>
      <c r="C21" s="1"/>
      <c r="D21" s="1"/>
      <c r="E21" s="1"/>
      <c r="F21" s="1"/>
      <c r="G21" s="1"/>
      <c r="H21" s="1"/>
      <c r="I21" s="1"/>
      <c r="J21" s="1"/>
      <c r="K21" s="490" t="s">
        <v>2</v>
      </c>
      <c r="L21" s="490"/>
      <c r="M21" s="490"/>
      <c r="N21" s="490"/>
      <c r="W21" t="s">
        <v>114</v>
      </c>
      <c r="AF21" s="74"/>
      <c r="AL21" s="125">
        <v>13</v>
      </c>
      <c r="AM21" s="110">
        <f t="shared" si="6"/>
        <v>18</v>
      </c>
      <c r="AN21" s="110"/>
      <c r="AO21" s="173"/>
      <c r="AP21" s="125">
        <v>18</v>
      </c>
      <c r="AW21" s="170"/>
      <c r="AX21" s="106">
        <v>8</v>
      </c>
      <c r="AY21" s="109">
        <f t="shared" si="7"/>
        <v>18</v>
      </c>
      <c r="AZ21" s="109"/>
      <c r="BA21" s="190">
        <v>17.5</v>
      </c>
      <c r="BB21" s="191"/>
    </row>
    <row r="22" spans="2:54" ht="14.25" x14ac:dyDescent="0.3">
      <c r="B22" s="1"/>
      <c r="C22" s="1"/>
      <c r="D22" s="1"/>
      <c r="E22" s="1"/>
      <c r="F22" s="1"/>
      <c r="G22" s="1"/>
      <c r="H22" s="1"/>
      <c r="I22" s="1"/>
      <c r="J22" s="1"/>
      <c r="K22" s="131" t="s">
        <v>71</v>
      </c>
      <c r="L22" s="131" t="s">
        <v>72</v>
      </c>
      <c r="M22" s="131" t="s">
        <v>81</v>
      </c>
      <c r="N22" s="131" t="s">
        <v>87</v>
      </c>
      <c r="AL22" s="498" t="s">
        <v>73</v>
      </c>
      <c r="AM22" s="499"/>
      <c r="AN22" s="180">
        <f>SUM(AN1:AN21)</f>
        <v>44</v>
      </c>
      <c r="AO22" s="181">
        <f>SUM(AO1:AO21)</f>
        <v>48</v>
      </c>
      <c r="AP22" s="182">
        <f>SUM(AP1:AP21)</f>
        <v>79</v>
      </c>
      <c r="AW22" s="170"/>
      <c r="AX22" s="124">
        <v>11</v>
      </c>
      <c r="AY22" s="109">
        <f t="shared" si="7"/>
        <v>19</v>
      </c>
      <c r="AZ22" s="109"/>
      <c r="BA22" s="171"/>
      <c r="BB22" s="124">
        <v>19</v>
      </c>
    </row>
    <row r="23" spans="2:54" x14ac:dyDescent="0.25">
      <c r="B23" s="1"/>
      <c r="C23" s="1"/>
      <c r="D23" s="1"/>
      <c r="E23" s="1"/>
      <c r="F23" s="1"/>
      <c r="G23" s="1"/>
      <c r="H23" s="1"/>
      <c r="I23" s="1"/>
      <c r="J23" s="1">
        <v>1</v>
      </c>
      <c r="K23" s="108">
        <v>30</v>
      </c>
      <c r="L23" s="108">
        <v>50</v>
      </c>
      <c r="M23" s="108">
        <f>K23-L23</f>
        <v>-20</v>
      </c>
      <c r="N23" s="108">
        <f>POWER(M23,2)</f>
        <v>400</v>
      </c>
      <c r="AL23" s="500" t="s">
        <v>73</v>
      </c>
      <c r="AM23" s="500"/>
      <c r="AN23" s="111">
        <f>AN22*AN22</f>
        <v>1936</v>
      </c>
      <c r="AO23" s="111">
        <f>AO22*AO22</f>
        <v>2304</v>
      </c>
      <c r="AP23" s="111">
        <f>AP22*AP22</f>
        <v>6241</v>
      </c>
      <c r="AW23" s="170"/>
      <c r="AX23" s="103">
        <v>12</v>
      </c>
      <c r="AY23" s="109">
        <f t="shared" si="7"/>
        <v>20</v>
      </c>
      <c r="AZ23" s="103">
        <v>20</v>
      </c>
      <c r="BA23" s="171"/>
      <c r="BB23" s="109"/>
    </row>
    <row r="24" spans="2:54" x14ac:dyDescent="0.25">
      <c r="B24" s="1"/>
      <c r="C24" s="1"/>
      <c r="D24" s="1"/>
      <c r="E24" s="1"/>
      <c r="F24" s="1"/>
      <c r="G24" s="1"/>
      <c r="H24" s="1"/>
      <c r="I24" s="1"/>
      <c r="J24" s="1">
        <f>J23+1</f>
        <v>2</v>
      </c>
      <c r="K24" s="109">
        <v>60</v>
      </c>
      <c r="L24" s="109">
        <v>40</v>
      </c>
      <c r="M24" s="109">
        <f t="shared" ref="M24:M30" si="8">K24-L24</f>
        <v>20</v>
      </c>
      <c r="N24" s="109">
        <f t="shared" ref="N24:N30" si="9">POWER(M24,2)</f>
        <v>400</v>
      </c>
      <c r="AL24" s="500" t="s">
        <v>0</v>
      </c>
      <c r="AM24" s="500"/>
      <c r="AN24" s="501">
        <f>SUM(AN23:AP23)</f>
        <v>10481</v>
      </c>
      <c r="AO24" s="502"/>
      <c r="AP24" s="503"/>
      <c r="AS24" s="2"/>
      <c r="AW24" s="170"/>
      <c r="AX24" s="125">
        <v>13</v>
      </c>
      <c r="AY24" s="109">
        <f t="shared" si="7"/>
        <v>21</v>
      </c>
      <c r="AZ24" s="110"/>
      <c r="BA24" s="173"/>
      <c r="BB24" s="125">
        <v>21</v>
      </c>
    </row>
    <row r="25" spans="2:54" ht="14.25" x14ac:dyDescent="0.3">
      <c r="J25" s="1">
        <f t="shared" ref="J25:J30" si="10">J24+1</f>
        <v>3</v>
      </c>
      <c r="K25" s="109">
        <v>40</v>
      </c>
      <c r="L25" s="109">
        <v>30</v>
      </c>
      <c r="M25" s="109">
        <f t="shared" si="8"/>
        <v>10</v>
      </c>
      <c r="N25" s="109">
        <f t="shared" si="9"/>
        <v>100</v>
      </c>
      <c r="AL25" s="497"/>
      <c r="AM25" s="497"/>
      <c r="AN25" s="183"/>
      <c r="AO25" s="183"/>
      <c r="AP25" s="183"/>
      <c r="AX25" s="498" t="s">
        <v>73</v>
      </c>
      <c r="AY25" s="499"/>
      <c r="AZ25" s="180">
        <f>SUM(AZ1:AZ24)</f>
        <v>50</v>
      </c>
      <c r="BA25" s="194">
        <f>SUM(BA1:BA24)</f>
        <v>61.5</v>
      </c>
      <c r="BB25" s="195">
        <f>SUM(BB1:BB24)</f>
        <v>119.5</v>
      </c>
    </row>
    <row r="26" spans="2:54" x14ac:dyDescent="0.25">
      <c r="J26" s="1">
        <f t="shared" si="10"/>
        <v>4</v>
      </c>
      <c r="K26" s="109">
        <v>90</v>
      </c>
      <c r="L26" s="109">
        <v>50</v>
      </c>
      <c r="M26" s="109">
        <f t="shared" si="8"/>
        <v>40</v>
      </c>
      <c r="N26" s="109">
        <f t="shared" si="9"/>
        <v>1600</v>
      </c>
      <c r="T26" s="485"/>
      <c r="U26" s="485"/>
      <c r="V26" s="485"/>
      <c r="W26" s="485"/>
      <c r="AL26" s="1"/>
      <c r="AM26" s="1"/>
      <c r="AN26" s="1"/>
      <c r="AO26" s="1"/>
      <c r="AP26" s="1"/>
      <c r="AR26" s="2"/>
      <c r="AX26" s="500" t="s">
        <v>73</v>
      </c>
      <c r="AY26" s="500"/>
      <c r="AZ26" s="111">
        <f>AZ25*AZ25</f>
        <v>2500</v>
      </c>
      <c r="BA26" s="134">
        <f>BA25*BA25</f>
        <v>3782.25</v>
      </c>
      <c r="BB26" s="134">
        <f>BB25*BB25</f>
        <v>14280.25</v>
      </c>
    </row>
    <row r="27" spans="2:54" ht="14.25" x14ac:dyDescent="0.25">
      <c r="J27" s="1">
        <f t="shared" si="10"/>
        <v>5</v>
      </c>
      <c r="K27" s="109">
        <v>50</v>
      </c>
      <c r="L27" s="109">
        <v>40</v>
      </c>
      <c r="M27" s="109">
        <f t="shared" si="8"/>
        <v>10</v>
      </c>
      <c r="N27" s="109">
        <f t="shared" si="9"/>
        <v>100</v>
      </c>
      <c r="T27" s="137"/>
      <c r="U27" s="138" t="s">
        <v>101</v>
      </c>
      <c r="V27" s="138" t="s">
        <v>102</v>
      </c>
      <c r="W27" s="138" t="s">
        <v>103</v>
      </c>
      <c r="AR27" s="2"/>
      <c r="AX27" s="184"/>
      <c r="AY27" s="184"/>
      <c r="AZ27" s="196">
        <f>AZ26/6</f>
        <v>416.66666666666669</v>
      </c>
      <c r="BA27" s="197">
        <f>BA26/7</f>
        <v>540.32142857142856</v>
      </c>
      <c r="BB27" s="197">
        <f>BB26/8</f>
        <v>1785.03125</v>
      </c>
    </row>
    <row r="28" spans="2:54" x14ac:dyDescent="0.25">
      <c r="J28" s="1">
        <f t="shared" si="10"/>
        <v>6</v>
      </c>
      <c r="K28" s="109">
        <v>20</v>
      </c>
      <c r="L28" s="109">
        <v>40</v>
      </c>
      <c r="M28" s="109">
        <f t="shared" si="8"/>
        <v>-20</v>
      </c>
      <c r="N28" s="109">
        <f t="shared" si="9"/>
        <v>400</v>
      </c>
      <c r="T28" s="137">
        <v>1</v>
      </c>
      <c r="U28" s="137">
        <v>43</v>
      </c>
      <c r="V28" s="137">
        <v>28</v>
      </c>
      <c r="W28" s="137">
        <v>38</v>
      </c>
      <c r="AX28" s="500" t="s">
        <v>0</v>
      </c>
      <c r="AY28" s="500"/>
      <c r="AZ28" s="504">
        <f>SUM(AZ27:BB27)</f>
        <v>2742.0193452380954</v>
      </c>
      <c r="BA28" s="505"/>
      <c r="BB28" s="506"/>
    </row>
    <row r="29" spans="2:54" x14ac:dyDescent="0.25">
      <c r="J29" s="1">
        <f>J28+1</f>
        <v>7</v>
      </c>
      <c r="K29" s="109">
        <v>40</v>
      </c>
      <c r="L29" s="109">
        <v>50</v>
      </c>
      <c r="M29" s="109">
        <f t="shared" si="8"/>
        <v>-10</v>
      </c>
      <c r="N29" s="109">
        <f t="shared" si="9"/>
        <v>100</v>
      </c>
      <c r="T29" s="137">
        <v>2</v>
      </c>
      <c r="U29" s="137">
        <v>25</v>
      </c>
      <c r="V29" s="137">
        <v>23</v>
      </c>
      <c r="W29" s="137">
        <v>34</v>
      </c>
    </row>
    <row r="30" spans="2:54" x14ac:dyDescent="0.25">
      <c r="J30" s="1">
        <f t="shared" si="10"/>
        <v>8</v>
      </c>
      <c r="K30" s="110">
        <v>60</v>
      </c>
      <c r="L30" s="110">
        <v>70</v>
      </c>
      <c r="M30" s="110">
        <f t="shared" si="8"/>
        <v>-10</v>
      </c>
      <c r="N30" s="110">
        <f t="shared" si="9"/>
        <v>100</v>
      </c>
      <c r="T30" s="137">
        <v>3</v>
      </c>
      <c r="U30" s="137">
        <v>52</v>
      </c>
      <c r="V30" s="137">
        <v>33</v>
      </c>
      <c r="W30" s="137">
        <v>62</v>
      </c>
    </row>
    <row r="31" spans="2:54" ht="14.25" x14ac:dyDescent="0.3">
      <c r="K31" s="132"/>
      <c r="L31" s="133"/>
      <c r="M31" s="112" t="s">
        <v>3</v>
      </c>
      <c r="N31" s="111">
        <f>SUM(N23:N30)</f>
        <v>3200</v>
      </c>
      <c r="T31" s="137">
        <v>4</v>
      </c>
      <c r="U31" s="137">
        <v>60</v>
      </c>
      <c r="V31" s="137">
        <v>49</v>
      </c>
      <c r="W31" s="137">
        <v>25</v>
      </c>
    </row>
    <row r="32" spans="2:54" x14ac:dyDescent="0.25">
      <c r="T32" s="137">
        <v>5</v>
      </c>
      <c r="U32" s="137">
        <v>40</v>
      </c>
      <c r="V32" s="137">
        <v>35</v>
      </c>
      <c r="W32" s="137">
        <v>51</v>
      </c>
    </row>
    <row r="33" spans="20:35" x14ac:dyDescent="0.25">
      <c r="T33" s="137">
        <v>6</v>
      </c>
      <c r="U33" s="137">
        <v>27</v>
      </c>
      <c r="V33" s="137">
        <v>20</v>
      </c>
      <c r="W33" s="137">
        <v>54</v>
      </c>
    </row>
    <row r="34" spans="20:35" x14ac:dyDescent="0.25">
      <c r="T34" s="137">
        <v>7</v>
      </c>
      <c r="U34" s="137">
        <v>36</v>
      </c>
      <c r="V34" s="137">
        <v>40</v>
      </c>
      <c r="W34" s="137">
        <v>47</v>
      </c>
    </row>
    <row r="35" spans="20:35" x14ac:dyDescent="0.25">
      <c r="T35" s="137">
        <v>8</v>
      </c>
      <c r="U35" s="137">
        <v>51</v>
      </c>
      <c r="V35" s="137">
        <v>37</v>
      </c>
      <c r="W35" s="137">
        <v>50</v>
      </c>
    </row>
    <row r="36" spans="20:35" x14ac:dyDescent="0.25">
      <c r="T36" s="137">
        <v>9</v>
      </c>
      <c r="U36" s="137">
        <v>38</v>
      </c>
      <c r="V36" s="137">
        <v>29</v>
      </c>
      <c r="W36" s="137">
        <v>43</v>
      </c>
    </row>
    <row r="37" spans="20:35" ht="14.25" x14ac:dyDescent="0.25">
      <c r="T37" s="138" t="s">
        <v>36</v>
      </c>
      <c r="U37" s="137">
        <v>9</v>
      </c>
      <c r="V37" s="137">
        <v>9</v>
      </c>
      <c r="W37" s="137">
        <v>9</v>
      </c>
    </row>
    <row r="38" spans="20:35" ht="14.25" x14ac:dyDescent="0.25">
      <c r="T38" s="139" t="s">
        <v>104</v>
      </c>
      <c r="U38" s="45">
        <v>41.332999999999998</v>
      </c>
      <c r="V38" s="45">
        <v>32.667000000000002</v>
      </c>
      <c r="W38" s="45">
        <v>44.889000000000003</v>
      </c>
    </row>
    <row r="39" spans="20:35" ht="14.25" x14ac:dyDescent="0.25">
      <c r="T39" s="139" t="s">
        <v>105</v>
      </c>
      <c r="U39" s="45">
        <v>11.576000000000001</v>
      </c>
      <c r="V39" s="45">
        <v>8.9019999999999992</v>
      </c>
      <c r="W39" s="45">
        <v>11.23</v>
      </c>
    </row>
    <row r="40" spans="20:35" ht="14.25" x14ac:dyDescent="0.25">
      <c r="T40" s="139" t="s">
        <v>106</v>
      </c>
      <c r="U40" s="45">
        <v>39.630000000000003</v>
      </c>
      <c r="V40" s="484"/>
      <c r="W40" s="484"/>
    </row>
    <row r="42" spans="20:35" ht="14.25" x14ac:dyDescent="0.25">
      <c r="T42" s="138" t="s">
        <v>107</v>
      </c>
      <c r="U42" s="138" t="s">
        <v>32</v>
      </c>
      <c r="V42" s="138" t="s">
        <v>108</v>
      </c>
      <c r="W42" s="138" t="s">
        <v>109</v>
      </c>
      <c r="X42" s="138" t="s">
        <v>95</v>
      </c>
      <c r="Y42" s="138" t="s">
        <v>110</v>
      </c>
    </row>
    <row r="43" spans="20:35" x14ac:dyDescent="0.25">
      <c r="T43" s="137" t="s">
        <v>111</v>
      </c>
      <c r="U43" s="137">
        <v>2</v>
      </c>
      <c r="V43" s="137">
        <v>711.40700000000004</v>
      </c>
      <c r="W43" s="137">
        <v>355.70400000000001</v>
      </c>
      <c r="X43" s="137">
        <v>3.1444999999999999</v>
      </c>
      <c r="Y43" s="137">
        <v>6.13E-2</v>
      </c>
    </row>
    <row r="44" spans="20:35" x14ac:dyDescent="0.25">
      <c r="T44" s="137" t="s">
        <v>112</v>
      </c>
      <c r="U44" s="137">
        <v>24</v>
      </c>
      <c r="V44" s="137">
        <v>2714.8890000000001</v>
      </c>
      <c r="W44" s="137">
        <v>113.12</v>
      </c>
      <c r="X44" s="485"/>
      <c r="Y44" s="485"/>
    </row>
    <row r="45" spans="20:35" x14ac:dyDescent="0.25">
      <c r="T45" s="137" t="s">
        <v>113</v>
      </c>
      <c r="U45" s="137">
        <v>26</v>
      </c>
      <c r="V45" s="137">
        <v>3426.2959999999998</v>
      </c>
      <c r="W45" s="485"/>
      <c r="X45" s="485"/>
      <c r="Y45" s="485"/>
    </row>
    <row r="46" spans="20:35" x14ac:dyDescent="0.25">
      <c r="T46" s="140"/>
    </row>
    <row r="47" spans="20:35" ht="14.25" x14ac:dyDescent="0.25">
      <c r="T47" s="141"/>
      <c r="U47" s="45"/>
      <c r="V47" s="484"/>
      <c r="W47" s="484"/>
      <c r="X47" s="45"/>
      <c r="Y47" s="45"/>
      <c r="Z47" s="484"/>
      <c r="AA47" s="484"/>
      <c r="AB47" s="45"/>
      <c r="AC47" s="45"/>
      <c r="AD47" s="484"/>
      <c r="AE47" s="484"/>
      <c r="AF47" s="45"/>
      <c r="AG47" s="45"/>
      <c r="AH47" s="484"/>
      <c r="AI47" s="484"/>
    </row>
    <row r="48" spans="20:35" ht="14.25" x14ac:dyDescent="0.25">
      <c r="T48" s="141"/>
      <c r="U48" s="45"/>
      <c r="V48" s="484"/>
      <c r="W48" s="484"/>
      <c r="X48" s="45"/>
      <c r="Y48" s="45"/>
      <c r="Z48" s="484"/>
      <c r="AA48" s="484"/>
      <c r="AB48" s="45"/>
      <c r="AC48" s="45"/>
      <c r="AD48" s="484"/>
      <c r="AE48" s="484"/>
      <c r="AF48" s="45"/>
      <c r="AG48" s="45"/>
      <c r="AH48" s="484"/>
      <c r="AI48" s="484"/>
    </row>
    <row r="49" spans="20:35" ht="14.25" x14ac:dyDescent="0.25">
      <c r="T49" s="141"/>
      <c r="U49" s="45"/>
      <c r="V49" s="484"/>
      <c r="W49" s="484"/>
      <c r="X49" s="45"/>
      <c r="Y49" s="45"/>
      <c r="Z49" s="484"/>
      <c r="AA49" s="484"/>
      <c r="AB49" s="45"/>
      <c r="AC49" s="45"/>
      <c r="AD49" s="484"/>
      <c r="AE49" s="484"/>
      <c r="AF49" s="45"/>
      <c r="AG49" s="45"/>
      <c r="AH49" s="484"/>
      <c r="AI49" s="484"/>
    </row>
    <row r="50" spans="20:35" ht="14.25" x14ac:dyDescent="0.25">
      <c r="T50" s="141"/>
      <c r="U50" s="45"/>
      <c r="V50" s="484"/>
      <c r="W50" s="484"/>
      <c r="X50" s="484"/>
      <c r="Y50" s="484"/>
      <c r="Z50" s="484"/>
      <c r="AA50" s="484"/>
      <c r="AB50" s="484"/>
      <c r="AC50" s="484"/>
      <c r="AD50" s="484"/>
      <c r="AE50" s="484"/>
      <c r="AF50" s="484"/>
      <c r="AG50" s="484"/>
      <c r="AH50" s="484"/>
      <c r="AI50" s="484"/>
    </row>
    <row r="51" spans="20:35" ht="14.25" x14ac:dyDescent="0.25">
      <c r="T51" s="141"/>
      <c r="U51" s="45"/>
      <c r="V51" s="484"/>
      <c r="W51" s="484"/>
      <c r="X51" s="484"/>
      <c r="Y51" s="484"/>
      <c r="Z51" s="484"/>
      <c r="AA51" s="484"/>
      <c r="AB51" s="484"/>
      <c r="AC51" s="484"/>
      <c r="AD51" s="484"/>
      <c r="AE51" s="484"/>
      <c r="AF51" s="484"/>
      <c r="AG51" s="484"/>
      <c r="AH51" s="484"/>
      <c r="AI51" s="484"/>
    </row>
    <row r="52" spans="20:35" ht="14.25" x14ac:dyDescent="0.25">
      <c r="T52" s="141"/>
      <c r="U52" s="45"/>
      <c r="V52" s="484"/>
      <c r="W52" s="484"/>
      <c r="X52" s="484"/>
      <c r="Y52" s="484"/>
      <c r="Z52" s="484"/>
      <c r="AA52" s="484"/>
      <c r="AB52" s="484"/>
      <c r="AC52" s="484"/>
      <c r="AD52" s="484"/>
      <c r="AE52" s="484"/>
      <c r="AF52" s="484"/>
      <c r="AG52" s="484"/>
      <c r="AH52" s="484"/>
      <c r="AI52" s="484"/>
    </row>
    <row r="53" spans="20:35" ht="14.25" x14ac:dyDescent="0.25">
      <c r="T53" s="141"/>
      <c r="U53" s="45"/>
      <c r="V53" s="484"/>
      <c r="W53" s="484"/>
      <c r="X53" s="484"/>
      <c r="Y53" s="484"/>
      <c r="Z53" s="484"/>
      <c r="AA53" s="484"/>
      <c r="AB53" s="484"/>
      <c r="AC53" s="484"/>
      <c r="AD53" s="484"/>
      <c r="AE53" s="484"/>
      <c r="AF53" s="484"/>
      <c r="AG53" s="484"/>
      <c r="AH53" s="484"/>
      <c r="AI53" s="484"/>
    </row>
    <row r="54" spans="20:35" ht="14.25" x14ac:dyDescent="0.25">
      <c r="T54" s="141"/>
      <c r="U54" s="45"/>
      <c r="V54" s="484"/>
      <c r="W54" s="484"/>
      <c r="X54" s="484"/>
      <c r="Y54" s="484"/>
      <c r="Z54" s="484"/>
      <c r="AA54" s="484"/>
      <c r="AB54" s="484"/>
      <c r="AC54" s="484"/>
      <c r="AD54" s="484"/>
      <c r="AE54" s="484"/>
      <c r="AF54" s="484"/>
      <c r="AG54" s="484"/>
      <c r="AH54" s="484"/>
      <c r="AI54" s="484"/>
    </row>
    <row r="55" spans="20:35" ht="14.25" x14ac:dyDescent="0.25">
      <c r="T55" s="141"/>
      <c r="U55" s="45"/>
      <c r="V55" s="484"/>
      <c r="W55" s="484"/>
      <c r="X55" s="484"/>
      <c r="Y55" s="484"/>
      <c r="Z55" s="484"/>
      <c r="AA55" s="484"/>
      <c r="AB55" s="484"/>
      <c r="AC55" s="484"/>
      <c r="AD55" s="484"/>
      <c r="AE55" s="484"/>
      <c r="AF55" s="484"/>
      <c r="AG55" s="484"/>
      <c r="AH55" s="484"/>
      <c r="AI55" s="484"/>
    </row>
    <row r="56" spans="20:35" ht="14.25" x14ac:dyDescent="0.25">
      <c r="T56" s="141"/>
      <c r="U56" s="45"/>
      <c r="V56" s="484"/>
      <c r="W56" s="484"/>
      <c r="X56" s="484"/>
      <c r="Y56" s="484"/>
      <c r="Z56" s="484"/>
      <c r="AA56" s="484"/>
      <c r="AB56" s="484"/>
      <c r="AC56" s="484"/>
      <c r="AD56" s="484"/>
      <c r="AE56" s="484"/>
      <c r="AF56" s="484"/>
      <c r="AG56" s="484"/>
      <c r="AH56" s="484"/>
      <c r="AI56" s="484"/>
    </row>
    <row r="57" spans="20:35" ht="14.25" x14ac:dyDescent="0.25">
      <c r="T57" s="141"/>
      <c r="U57" s="45"/>
      <c r="V57" s="484"/>
      <c r="W57" s="484"/>
      <c r="X57" s="484"/>
      <c r="Y57" s="484"/>
      <c r="Z57" s="484"/>
      <c r="AA57" s="484"/>
      <c r="AB57" s="484"/>
      <c r="AC57" s="484"/>
      <c r="AD57" s="484"/>
      <c r="AE57" s="484"/>
      <c r="AF57" s="484"/>
      <c r="AG57" s="484"/>
      <c r="AH57" s="484"/>
      <c r="AI57" s="484"/>
    </row>
    <row r="58" spans="20:35" ht="14.25" x14ac:dyDescent="0.25">
      <c r="T58" s="141"/>
      <c r="U58" s="45"/>
      <c r="V58" s="484"/>
      <c r="W58" s="484"/>
      <c r="X58" s="484"/>
      <c r="Y58" s="484"/>
      <c r="Z58" s="484"/>
      <c r="AA58" s="484"/>
      <c r="AB58" s="484"/>
      <c r="AC58" s="484"/>
      <c r="AD58" s="484"/>
      <c r="AE58" s="484"/>
      <c r="AF58" s="484"/>
      <c r="AG58" s="484"/>
      <c r="AH58" s="484"/>
      <c r="AI58" s="484"/>
    </row>
    <row r="59" spans="20:35" ht="14.25" x14ac:dyDescent="0.25">
      <c r="T59" s="141"/>
      <c r="U59" s="45"/>
      <c r="V59" s="484"/>
      <c r="W59" s="484"/>
      <c r="X59" s="484"/>
      <c r="Y59" s="484"/>
      <c r="Z59" s="484"/>
      <c r="AA59" s="484"/>
      <c r="AB59" s="484"/>
      <c r="AC59" s="484"/>
      <c r="AD59" s="484"/>
      <c r="AE59" s="484"/>
      <c r="AF59" s="484"/>
      <c r="AG59" s="484"/>
      <c r="AH59" s="484"/>
      <c r="AI59" s="484"/>
    </row>
    <row r="60" spans="20:35" ht="14.25" customHeight="1" x14ac:dyDescent="0.25">
      <c r="T60" s="137"/>
      <c r="U60" s="485"/>
      <c r="V60" s="485"/>
      <c r="W60" s="486"/>
      <c r="X60" s="486"/>
      <c r="Y60" s="486"/>
      <c r="Z60" s="486"/>
      <c r="AA60" s="486" t="s">
        <v>102</v>
      </c>
      <c r="AB60" s="486"/>
      <c r="AC60" s="486"/>
      <c r="AD60" s="486"/>
      <c r="AE60" s="486" t="s">
        <v>103</v>
      </c>
      <c r="AF60" s="486"/>
      <c r="AG60" s="486"/>
      <c r="AH60" s="486"/>
      <c r="AI60" s="137"/>
    </row>
  </sheetData>
  <mergeCells count="72">
    <mergeCell ref="AT2:AV2"/>
    <mergeCell ref="AX2:BB2"/>
    <mergeCell ref="AX25:AY25"/>
    <mergeCell ref="AX26:AY26"/>
    <mergeCell ref="AX28:AY28"/>
    <mergeCell ref="AZ28:BB28"/>
    <mergeCell ref="AL2:AP2"/>
    <mergeCell ref="AL25:AM25"/>
    <mergeCell ref="AL22:AM22"/>
    <mergeCell ref="AL23:AM23"/>
    <mergeCell ref="AN24:AP24"/>
    <mergeCell ref="AL24:AM24"/>
    <mergeCell ref="AH2:AJ2"/>
    <mergeCell ref="S1:X1"/>
    <mergeCell ref="S2:U2"/>
    <mergeCell ref="V2:X2"/>
    <mergeCell ref="T26:W26"/>
    <mergeCell ref="S19:U19"/>
    <mergeCell ref="S20:X20"/>
    <mergeCell ref="V18:X18"/>
    <mergeCell ref="V19:X19"/>
    <mergeCell ref="V40:W40"/>
    <mergeCell ref="B2:C2"/>
    <mergeCell ref="K2:Q2"/>
    <mergeCell ref="K21:N21"/>
    <mergeCell ref="S17:U17"/>
    <mergeCell ref="S18:U18"/>
    <mergeCell ref="E2:H2"/>
    <mergeCell ref="V47:V59"/>
    <mergeCell ref="W47:W59"/>
    <mergeCell ref="X50:Y50"/>
    <mergeCell ref="X51:Y51"/>
    <mergeCell ref="X52:Y52"/>
    <mergeCell ref="X53:Y53"/>
    <mergeCell ref="X54:Y54"/>
    <mergeCell ref="X55:Y55"/>
    <mergeCell ref="X56:Y56"/>
    <mergeCell ref="X57:Y57"/>
    <mergeCell ref="X59:Y59"/>
    <mergeCell ref="X58:Y58"/>
    <mergeCell ref="X44:Y44"/>
    <mergeCell ref="W45:Y45"/>
    <mergeCell ref="AB52:AC52"/>
    <mergeCell ref="AB53:AC53"/>
    <mergeCell ref="AB54:AC54"/>
    <mergeCell ref="Z47:Z59"/>
    <mergeCell ref="AA47:AA59"/>
    <mergeCell ref="AB59:AC59"/>
    <mergeCell ref="AF59:AG59"/>
    <mergeCell ref="AB50:AC50"/>
    <mergeCell ref="AB51:AC51"/>
    <mergeCell ref="AF52:AG52"/>
    <mergeCell ref="AF53:AG53"/>
    <mergeCell ref="AF54:AG54"/>
    <mergeCell ref="AF55:AG55"/>
    <mergeCell ref="AB55:AC55"/>
    <mergeCell ref="AI47:AI59"/>
    <mergeCell ref="U60:V60"/>
    <mergeCell ref="W60:Z60"/>
    <mergeCell ref="AA60:AD60"/>
    <mergeCell ref="AE60:AH60"/>
    <mergeCell ref="AD47:AD59"/>
    <mergeCell ref="AE47:AE59"/>
    <mergeCell ref="AF50:AG50"/>
    <mergeCell ref="AF51:AG51"/>
    <mergeCell ref="AF58:AG58"/>
    <mergeCell ref="AH47:AH59"/>
    <mergeCell ref="AF56:AG56"/>
    <mergeCell ref="AF57:AG57"/>
    <mergeCell ref="AB56:AC56"/>
    <mergeCell ref="AB57:AC57"/>
    <mergeCell ref="AB58:AC58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60"/>
  <sheetViews>
    <sheetView showGridLines="0" topLeftCell="D37" zoomScaleNormal="100" workbookViewId="0">
      <selection activeCell="I52" sqref="I52"/>
    </sheetView>
  </sheetViews>
  <sheetFormatPr defaultRowHeight="12.75" x14ac:dyDescent="0.25"/>
  <cols>
    <col min="2" max="2" width="10.140625" bestFit="1" customWidth="1"/>
    <col min="3" max="3" width="8.28515625" customWidth="1"/>
    <col min="4" max="5" width="9.140625" customWidth="1"/>
    <col min="6" max="6" width="8.28515625" bestFit="1" customWidth="1"/>
    <col min="9" max="9" width="11" customWidth="1"/>
    <col min="10" max="10" width="15.140625" customWidth="1"/>
    <col min="11" max="11" width="11.7109375" bestFit="1" customWidth="1"/>
  </cols>
  <sheetData>
    <row r="2" spans="1:11" x14ac:dyDescent="0.25">
      <c r="A2" s="74"/>
      <c r="B2" s="74"/>
      <c r="C2" s="74"/>
      <c r="D2" s="74"/>
      <c r="E2" s="74"/>
      <c r="F2" s="74"/>
      <c r="G2" s="74"/>
    </row>
    <row r="3" spans="1:11" ht="26.25" x14ac:dyDescent="0.25">
      <c r="A3" s="74"/>
      <c r="B3" s="75" t="s">
        <v>41</v>
      </c>
      <c r="C3" s="76" t="s">
        <v>42</v>
      </c>
      <c r="D3" s="76" t="s">
        <v>43</v>
      </c>
      <c r="E3" s="75" t="s">
        <v>62</v>
      </c>
      <c r="F3" s="76" t="s">
        <v>44</v>
      </c>
      <c r="G3" s="80" t="s">
        <v>41</v>
      </c>
      <c r="H3" s="81" t="s">
        <v>43</v>
      </c>
      <c r="I3" s="81" t="s">
        <v>62</v>
      </c>
      <c r="J3" s="81" t="s">
        <v>69</v>
      </c>
      <c r="K3" s="93" t="s">
        <v>68</v>
      </c>
    </row>
    <row r="4" spans="1:11" x14ac:dyDescent="0.25">
      <c r="A4" s="74"/>
      <c r="B4" s="78" t="s">
        <v>47</v>
      </c>
      <c r="C4" s="77">
        <v>30520</v>
      </c>
      <c r="D4" s="77">
        <v>1</v>
      </c>
      <c r="E4" s="77">
        <v>9.9</v>
      </c>
      <c r="F4" s="77">
        <v>118</v>
      </c>
      <c r="G4" s="82" t="s">
        <v>47</v>
      </c>
      <c r="H4" s="88">
        <v>1</v>
      </c>
      <c r="I4" s="85">
        <f t="shared" ref="I4:I17" si="0">E4*1000000</f>
        <v>9900000</v>
      </c>
      <c r="J4" s="94">
        <f t="shared" ref="J4:J17" si="1">1412.4*H4+9000000</f>
        <v>9001412.4000000004</v>
      </c>
      <c r="K4" s="94">
        <f t="shared" ref="K4:K17" si="2">I4-J4</f>
        <v>898587.59999999963</v>
      </c>
    </row>
    <row r="5" spans="1:11" x14ac:dyDescent="0.25">
      <c r="A5" s="74"/>
      <c r="B5" s="78" t="s">
        <v>53</v>
      </c>
      <c r="C5" s="77">
        <v>41900</v>
      </c>
      <c r="D5" s="77">
        <v>4</v>
      </c>
      <c r="E5" s="77">
        <v>15</v>
      </c>
      <c r="F5" s="77">
        <v>188</v>
      </c>
      <c r="G5" s="83" t="s">
        <v>53</v>
      </c>
      <c r="H5" s="89">
        <v>4</v>
      </c>
      <c r="I5" s="86">
        <f t="shared" si="0"/>
        <v>15000000</v>
      </c>
      <c r="J5" s="95">
        <f t="shared" si="1"/>
        <v>9005649.5999999996</v>
      </c>
      <c r="K5" s="95">
        <f t="shared" si="2"/>
        <v>5994350.4000000004</v>
      </c>
    </row>
    <row r="6" spans="1:11" x14ac:dyDescent="0.25">
      <c r="A6" s="74"/>
      <c r="B6" s="78" t="s">
        <v>49</v>
      </c>
      <c r="C6" s="77">
        <v>43100</v>
      </c>
      <c r="D6" s="77">
        <v>9</v>
      </c>
      <c r="E6" s="77">
        <v>5.0999999999999996</v>
      </c>
      <c r="F6" s="77">
        <v>59</v>
      </c>
      <c r="G6" s="83" t="s">
        <v>49</v>
      </c>
      <c r="H6" s="89">
        <v>9</v>
      </c>
      <c r="I6" s="86">
        <f t="shared" si="0"/>
        <v>5100000</v>
      </c>
      <c r="J6" s="95">
        <f t="shared" si="1"/>
        <v>9012711.5999999996</v>
      </c>
      <c r="K6" s="95">
        <f t="shared" si="2"/>
        <v>-3912711.5999999996</v>
      </c>
    </row>
    <row r="7" spans="1:11" x14ac:dyDescent="0.25">
      <c r="A7" s="74"/>
      <c r="B7" s="78" t="s">
        <v>45</v>
      </c>
      <c r="C7" s="77">
        <v>28750</v>
      </c>
      <c r="D7" s="77">
        <v>100</v>
      </c>
      <c r="E7" s="77">
        <v>3.2</v>
      </c>
      <c r="F7" s="77">
        <v>83</v>
      </c>
      <c r="G7" s="83" t="s">
        <v>45</v>
      </c>
      <c r="H7" s="89">
        <v>100</v>
      </c>
      <c r="I7" s="86">
        <f t="shared" si="0"/>
        <v>3200000</v>
      </c>
      <c r="J7" s="95">
        <f t="shared" si="1"/>
        <v>9141240</v>
      </c>
      <c r="K7" s="95">
        <f t="shared" si="2"/>
        <v>-5941240</v>
      </c>
    </row>
    <row r="8" spans="1:11" x14ac:dyDescent="0.25">
      <c r="A8" s="74"/>
      <c r="B8" s="78" t="s">
        <v>60</v>
      </c>
      <c r="C8" s="77">
        <v>41290</v>
      </c>
      <c r="D8" s="77">
        <v>150</v>
      </c>
      <c r="E8" s="77">
        <v>6.7</v>
      </c>
      <c r="F8" s="77">
        <v>82</v>
      </c>
      <c r="G8" s="83" t="s">
        <v>60</v>
      </c>
      <c r="H8" s="89">
        <v>150</v>
      </c>
      <c r="I8" s="86">
        <f t="shared" si="0"/>
        <v>6700000</v>
      </c>
      <c r="J8" s="95">
        <f t="shared" si="1"/>
        <v>9211860</v>
      </c>
      <c r="K8" s="95">
        <f t="shared" si="2"/>
        <v>-2511860</v>
      </c>
    </row>
    <row r="9" spans="1:11" x14ac:dyDescent="0.25">
      <c r="A9" s="74"/>
      <c r="B9" s="78" t="s">
        <v>46</v>
      </c>
      <c r="C9" s="77">
        <v>83860</v>
      </c>
      <c r="D9" s="77">
        <v>300</v>
      </c>
      <c r="E9" s="77">
        <v>7.6</v>
      </c>
      <c r="F9" s="77">
        <v>87</v>
      </c>
      <c r="G9" s="83" t="s">
        <v>46</v>
      </c>
      <c r="H9" s="89">
        <v>300</v>
      </c>
      <c r="I9" s="86">
        <f t="shared" si="0"/>
        <v>7600000</v>
      </c>
      <c r="J9" s="95">
        <f t="shared" si="1"/>
        <v>9423720</v>
      </c>
      <c r="K9" s="95">
        <f t="shared" si="2"/>
        <v>-1823720</v>
      </c>
    </row>
    <row r="10" spans="1:11" x14ac:dyDescent="0.25">
      <c r="A10" s="74"/>
      <c r="B10" s="78" t="s">
        <v>57</v>
      </c>
      <c r="C10" s="77">
        <v>92390</v>
      </c>
      <c r="D10" s="77">
        <v>1500</v>
      </c>
      <c r="E10" s="77">
        <v>10</v>
      </c>
      <c r="F10" s="77">
        <v>120</v>
      </c>
      <c r="G10" s="83" t="s">
        <v>57</v>
      </c>
      <c r="H10" s="89">
        <v>1500</v>
      </c>
      <c r="I10" s="86">
        <f t="shared" si="0"/>
        <v>10000000</v>
      </c>
      <c r="J10" s="95">
        <f t="shared" si="1"/>
        <v>11118600</v>
      </c>
      <c r="K10" s="95">
        <f t="shared" si="2"/>
        <v>-1118600</v>
      </c>
    </row>
    <row r="11" spans="1:11" x14ac:dyDescent="0.25">
      <c r="A11" s="74"/>
      <c r="B11" s="78" t="s">
        <v>52</v>
      </c>
      <c r="C11" s="77">
        <v>132000</v>
      </c>
      <c r="D11" s="77">
        <v>2500</v>
      </c>
      <c r="E11" s="77">
        <v>10</v>
      </c>
      <c r="F11" s="77">
        <v>106</v>
      </c>
      <c r="G11" s="83" t="s">
        <v>52</v>
      </c>
      <c r="H11" s="89">
        <v>2500</v>
      </c>
      <c r="I11" s="86">
        <f t="shared" si="0"/>
        <v>10000000</v>
      </c>
      <c r="J11" s="95">
        <f t="shared" si="1"/>
        <v>12531000</v>
      </c>
      <c r="K11" s="95">
        <f t="shared" si="2"/>
        <v>-2531000</v>
      </c>
    </row>
    <row r="12" spans="1:11" x14ac:dyDescent="0.25">
      <c r="A12" s="74"/>
      <c r="B12" s="78" t="s">
        <v>48</v>
      </c>
      <c r="C12" s="77">
        <v>111000</v>
      </c>
      <c r="D12" s="77">
        <v>5000</v>
      </c>
      <c r="E12" s="77">
        <v>9</v>
      </c>
      <c r="F12" s="77">
        <v>117</v>
      </c>
      <c r="G12" s="83" t="s">
        <v>48</v>
      </c>
      <c r="H12" s="89">
        <v>5000</v>
      </c>
      <c r="I12" s="86">
        <f t="shared" si="0"/>
        <v>9000000</v>
      </c>
      <c r="J12" s="95">
        <f t="shared" si="1"/>
        <v>16062000</v>
      </c>
      <c r="K12" s="95">
        <f t="shared" si="2"/>
        <v>-7062000</v>
      </c>
    </row>
    <row r="13" spans="1:11" x14ac:dyDescent="0.25">
      <c r="A13" s="74"/>
      <c r="B13" s="78" t="s">
        <v>54</v>
      </c>
      <c r="C13" s="77">
        <v>93000</v>
      </c>
      <c r="D13" s="77">
        <v>5000</v>
      </c>
      <c r="E13" s="77">
        <v>11</v>
      </c>
      <c r="F13" s="77">
        <v>124</v>
      </c>
      <c r="G13" s="83" t="s">
        <v>54</v>
      </c>
      <c r="H13" s="89">
        <v>5000</v>
      </c>
      <c r="I13" s="86">
        <f t="shared" si="0"/>
        <v>11000000</v>
      </c>
      <c r="J13" s="95">
        <f t="shared" si="1"/>
        <v>16062000</v>
      </c>
      <c r="K13" s="95">
        <f t="shared" si="2"/>
        <v>-5062000</v>
      </c>
    </row>
    <row r="14" spans="1:11" x14ac:dyDescent="0.25">
      <c r="A14" s="74"/>
      <c r="B14" s="78" t="s">
        <v>58</v>
      </c>
      <c r="C14" s="77">
        <v>237500</v>
      </c>
      <c r="D14" s="77">
        <v>5000</v>
      </c>
      <c r="E14" s="77">
        <v>23</v>
      </c>
      <c r="F14" s="77">
        <v>367</v>
      </c>
      <c r="G14" s="83" t="s">
        <v>58</v>
      </c>
      <c r="H14" s="89">
        <v>5000</v>
      </c>
      <c r="I14" s="86">
        <f t="shared" si="0"/>
        <v>23000000</v>
      </c>
      <c r="J14" s="95">
        <f t="shared" si="1"/>
        <v>16062000</v>
      </c>
      <c r="K14" s="95">
        <f t="shared" si="2"/>
        <v>6938000</v>
      </c>
    </row>
    <row r="15" spans="1:11" x14ac:dyDescent="0.25">
      <c r="A15" s="74"/>
      <c r="B15" s="78" t="s">
        <v>59</v>
      </c>
      <c r="C15" s="77">
        <v>504750</v>
      </c>
      <c r="D15" s="77">
        <v>8000</v>
      </c>
      <c r="E15" s="77">
        <v>39</v>
      </c>
      <c r="F15" s="77">
        <v>439</v>
      </c>
      <c r="G15" s="83" t="s">
        <v>59</v>
      </c>
      <c r="H15" s="89">
        <v>8000</v>
      </c>
      <c r="I15" s="86">
        <f t="shared" si="0"/>
        <v>39000000</v>
      </c>
      <c r="J15" s="95">
        <f t="shared" si="1"/>
        <v>20299200</v>
      </c>
      <c r="K15" s="95">
        <f t="shared" si="2"/>
        <v>18700800</v>
      </c>
    </row>
    <row r="16" spans="1:11" x14ac:dyDescent="0.25">
      <c r="A16" s="74"/>
      <c r="B16" s="78" t="s">
        <v>61</v>
      </c>
      <c r="C16" s="77">
        <v>779450</v>
      </c>
      <c r="D16" s="77">
        <v>25000</v>
      </c>
      <c r="E16" s="77">
        <v>56</v>
      </c>
      <c r="F16" s="77">
        <v>1576</v>
      </c>
      <c r="G16" s="83" t="s">
        <v>61</v>
      </c>
      <c r="H16" s="89">
        <v>25000</v>
      </c>
      <c r="I16" s="86">
        <f t="shared" si="0"/>
        <v>56000000</v>
      </c>
      <c r="J16" s="95">
        <f t="shared" si="1"/>
        <v>44310000</v>
      </c>
      <c r="K16" s="95">
        <f t="shared" si="2"/>
        <v>11690000</v>
      </c>
    </row>
    <row r="17" spans="1:11" x14ac:dyDescent="0.25">
      <c r="A17" s="74"/>
      <c r="B17" s="78" t="s">
        <v>56</v>
      </c>
      <c r="C17" s="77">
        <v>312680</v>
      </c>
      <c r="D17" s="77">
        <v>30000</v>
      </c>
      <c r="E17" s="77">
        <v>38</v>
      </c>
      <c r="F17" s="77">
        <v>610</v>
      </c>
      <c r="G17" s="84" t="s">
        <v>56</v>
      </c>
      <c r="H17" s="90">
        <v>30000</v>
      </c>
      <c r="I17" s="87">
        <f t="shared" si="0"/>
        <v>38000000</v>
      </c>
      <c r="J17" s="96">
        <f t="shared" si="1"/>
        <v>51372000</v>
      </c>
      <c r="K17" s="96">
        <f t="shared" si="2"/>
        <v>-13372000</v>
      </c>
    </row>
    <row r="18" spans="1:11" x14ac:dyDescent="0.25">
      <c r="A18" s="74"/>
      <c r="B18" s="74"/>
      <c r="C18" s="74"/>
      <c r="D18" s="74"/>
      <c r="E18" s="74"/>
      <c r="F18" s="74"/>
      <c r="G18" s="91" t="s">
        <v>64</v>
      </c>
      <c r="H18" s="94">
        <f>AVERAGE(H4:H17)</f>
        <v>5897.4285714285716</v>
      </c>
      <c r="I18" s="97">
        <f>AVERAGE(I4:I17)</f>
        <v>17392857.142857142</v>
      </c>
      <c r="J18" s="97">
        <f>AVERAGE(J4:J17)</f>
        <v>17329528.114285715</v>
      </c>
      <c r="K18" s="97">
        <f>AVERAGE(K4:K17)</f>
        <v>63329.028571428462</v>
      </c>
    </row>
    <row r="19" spans="1:11" x14ac:dyDescent="0.25">
      <c r="A19" s="74"/>
      <c r="B19" s="74"/>
      <c r="C19" s="74"/>
      <c r="D19" s="74"/>
      <c r="E19" s="74"/>
      <c r="F19" s="74"/>
      <c r="G19" s="92" t="s">
        <v>65</v>
      </c>
      <c r="H19" s="96">
        <f>STDEV(H4:H17)</f>
        <v>9550.3012656008013</v>
      </c>
      <c r="I19" s="98">
        <f>STDEV(I4:I17)</f>
        <v>15832656.819940928</v>
      </c>
      <c r="J19" s="98">
        <f>STDEV(J4:J17)</f>
        <v>13488845.507534571</v>
      </c>
      <c r="K19" s="98">
        <f>STDEV(K4:K17)</f>
        <v>8289946.4235588545</v>
      </c>
    </row>
    <row r="20" spans="1:11" x14ac:dyDescent="0.25">
      <c r="A20" s="74"/>
      <c r="B20" s="74"/>
      <c r="C20" s="74"/>
      <c r="D20" s="74"/>
      <c r="E20" s="74"/>
      <c r="F20" s="74"/>
      <c r="G20" s="74"/>
      <c r="I20" t="s">
        <v>66</v>
      </c>
      <c r="J20">
        <f>PEARSON(H4:H17,I4:I17)</f>
        <v>0.85196549343260963</v>
      </c>
      <c r="K20">
        <f>J20*J20</f>
        <v>0.72584520199987002</v>
      </c>
    </row>
    <row r="21" spans="1:11" x14ac:dyDescent="0.25">
      <c r="A21" s="74"/>
      <c r="B21" s="74"/>
      <c r="C21" s="74"/>
      <c r="D21" s="74"/>
      <c r="E21" s="74"/>
      <c r="F21" s="74"/>
      <c r="G21" s="74"/>
      <c r="J21" t="s">
        <v>67</v>
      </c>
    </row>
    <row r="22" spans="1:11" x14ac:dyDescent="0.25">
      <c r="J22">
        <f>J20*I19/H19</f>
        <v>1412.4033268495612</v>
      </c>
    </row>
    <row r="41" spans="2:9" x14ac:dyDescent="0.25">
      <c r="B41" t="s">
        <v>63</v>
      </c>
    </row>
    <row r="42" spans="2:9" x14ac:dyDescent="0.25">
      <c r="B42" s="509" t="s">
        <v>41</v>
      </c>
      <c r="C42" s="508" t="s">
        <v>42</v>
      </c>
      <c r="D42" s="508" t="s">
        <v>43</v>
      </c>
      <c r="E42" s="509" t="s">
        <v>62</v>
      </c>
      <c r="F42" s="508" t="s">
        <v>44</v>
      </c>
      <c r="G42" s="74"/>
      <c r="H42" s="508" t="s">
        <v>43</v>
      </c>
      <c r="I42" s="509" t="s">
        <v>62</v>
      </c>
    </row>
    <row r="43" spans="2:9" x14ac:dyDescent="0.25">
      <c r="B43" s="509"/>
      <c r="C43" s="508"/>
      <c r="D43" s="508"/>
      <c r="E43" s="509"/>
      <c r="F43" s="508"/>
      <c r="G43" s="74"/>
      <c r="H43" s="508"/>
      <c r="I43" s="509"/>
    </row>
    <row r="44" spans="2:9" x14ac:dyDescent="0.25">
      <c r="B44" s="78" t="s">
        <v>47</v>
      </c>
      <c r="C44" s="77">
        <v>30520</v>
      </c>
      <c r="D44" s="77">
        <v>1</v>
      </c>
      <c r="E44" s="77">
        <v>9.9</v>
      </c>
      <c r="F44" s="77">
        <v>118</v>
      </c>
      <c r="G44" s="74"/>
      <c r="H44" s="77">
        <v>1</v>
      </c>
      <c r="I44" s="79">
        <f t="shared" ref="I44:I60" si="3">E44*1000000</f>
        <v>9900000</v>
      </c>
    </row>
    <row r="45" spans="2:9" x14ac:dyDescent="0.25">
      <c r="B45" s="78" t="s">
        <v>53</v>
      </c>
      <c r="C45" s="77">
        <v>41900</v>
      </c>
      <c r="D45" s="77">
        <v>4</v>
      </c>
      <c r="E45" s="77">
        <v>15</v>
      </c>
      <c r="F45" s="77">
        <v>188</v>
      </c>
      <c r="G45" s="74"/>
      <c r="H45" s="77">
        <v>4</v>
      </c>
      <c r="I45" s="79">
        <f t="shared" si="3"/>
        <v>15000000</v>
      </c>
    </row>
    <row r="46" spans="2:9" x14ac:dyDescent="0.25">
      <c r="B46" s="78" t="s">
        <v>55</v>
      </c>
      <c r="C46" s="77">
        <v>301280</v>
      </c>
      <c r="D46" s="77">
        <v>5</v>
      </c>
      <c r="E46" s="77">
        <v>57</v>
      </c>
      <c r="F46" s="77">
        <v>551</v>
      </c>
      <c r="G46" s="74"/>
      <c r="H46" s="77">
        <v>5</v>
      </c>
      <c r="I46" s="79">
        <f t="shared" si="3"/>
        <v>57000000</v>
      </c>
    </row>
    <row r="47" spans="2:9" x14ac:dyDescent="0.25">
      <c r="B47" s="78" t="s">
        <v>49</v>
      </c>
      <c r="C47" s="77">
        <v>43100</v>
      </c>
      <c r="D47" s="77">
        <v>9</v>
      </c>
      <c r="E47" s="77">
        <v>5.0999999999999996</v>
      </c>
      <c r="F47" s="77">
        <v>59</v>
      </c>
      <c r="G47" s="74"/>
      <c r="H47" s="77">
        <v>9</v>
      </c>
      <c r="I47" s="79">
        <f t="shared" si="3"/>
        <v>5100000</v>
      </c>
    </row>
    <row r="48" spans="2:9" x14ac:dyDescent="0.25">
      <c r="B48" s="78" t="s">
        <v>45</v>
      </c>
      <c r="C48" s="77">
        <v>28750</v>
      </c>
      <c r="D48" s="77">
        <v>100</v>
      </c>
      <c r="E48" s="77">
        <v>3.2</v>
      </c>
      <c r="F48" s="77">
        <v>83</v>
      </c>
      <c r="G48" s="74"/>
      <c r="H48" s="77">
        <v>100</v>
      </c>
      <c r="I48" s="79">
        <f t="shared" si="3"/>
        <v>3200000</v>
      </c>
    </row>
    <row r="49" spans="2:9" x14ac:dyDescent="0.25">
      <c r="B49" s="78" t="s">
        <v>50</v>
      </c>
      <c r="C49" s="77">
        <v>544000</v>
      </c>
      <c r="D49" s="77">
        <v>140</v>
      </c>
      <c r="E49" s="77">
        <v>56</v>
      </c>
      <c r="F49" s="77">
        <v>774</v>
      </c>
      <c r="G49" s="74"/>
      <c r="H49" s="77">
        <v>140</v>
      </c>
      <c r="I49" s="79">
        <f t="shared" si="3"/>
        <v>56000000</v>
      </c>
    </row>
    <row r="50" spans="2:9" x14ac:dyDescent="0.25">
      <c r="B50" s="78" t="s">
        <v>60</v>
      </c>
      <c r="C50" s="77">
        <v>41290</v>
      </c>
      <c r="D50" s="77">
        <v>150</v>
      </c>
      <c r="E50" s="77">
        <v>6.7</v>
      </c>
      <c r="F50" s="77">
        <v>82</v>
      </c>
      <c r="G50" s="74"/>
      <c r="H50" s="77">
        <v>150</v>
      </c>
      <c r="I50" s="79">
        <f t="shared" si="3"/>
        <v>6700000</v>
      </c>
    </row>
    <row r="51" spans="2:9" x14ac:dyDescent="0.25">
      <c r="B51" s="78" t="s">
        <v>46</v>
      </c>
      <c r="C51" s="77">
        <v>83860</v>
      </c>
      <c r="D51" s="77">
        <v>300</v>
      </c>
      <c r="E51" s="77">
        <v>7.6</v>
      </c>
      <c r="F51" s="77">
        <v>87</v>
      </c>
      <c r="G51" s="74"/>
      <c r="H51" s="77">
        <v>300</v>
      </c>
      <c r="I51" s="79">
        <f t="shared" si="3"/>
        <v>7600000</v>
      </c>
    </row>
    <row r="52" spans="2:9" x14ac:dyDescent="0.25">
      <c r="B52" s="78" t="s">
        <v>57</v>
      </c>
      <c r="C52" s="77">
        <v>92390</v>
      </c>
      <c r="D52" s="77">
        <v>1500</v>
      </c>
      <c r="E52" s="77">
        <v>10</v>
      </c>
      <c r="F52" s="77">
        <v>120</v>
      </c>
      <c r="G52" s="74"/>
      <c r="H52" s="77">
        <v>1500</v>
      </c>
      <c r="I52" s="79">
        <f t="shared" si="3"/>
        <v>10000000</v>
      </c>
    </row>
    <row r="53" spans="2:9" x14ac:dyDescent="0.25">
      <c r="B53" s="78" t="s">
        <v>52</v>
      </c>
      <c r="C53" s="77">
        <v>132000</v>
      </c>
      <c r="D53" s="77">
        <v>2500</v>
      </c>
      <c r="E53" s="77">
        <v>10</v>
      </c>
      <c r="F53" s="77">
        <v>106</v>
      </c>
      <c r="G53" s="74"/>
      <c r="H53" s="77">
        <v>2500</v>
      </c>
      <c r="I53" s="79">
        <f t="shared" si="3"/>
        <v>10000000</v>
      </c>
    </row>
    <row r="54" spans="2:9" x14ac:dyDescent="0.25">
      <c r="B54" s="78" t="s">
        <v>51</v>
      </c>
      <c r="C54" s="77">
        <v>357000</v>
      </c>
      <c r="D54" s="77">
        <v>3300</v>
      </c>
      <c r="E54" s="77">
        <v>78</v>
      </c>
      <c r="F54" s="77">
        <v>901</v>
      </c>
      <c r="G54" s="74"/>
      <c r="H54" s="77">
        <v>3300</v>
      </c>
      <c r="I54" s="79">
        <f t="shared" si="3"/>
        <v>78000000</v>
      </c>
    </row>
    <row r="55" spans="2:9" x14ac:dyDescent="0.25">
      <c r="B55" s="78" t="s">
        <v>48</v>
      </c>
      <c r="C55" s="77">
        <v>111000</v>
      </c>
      <c r="D55" s="77">
        <v>5000</v>
      </c>
      <c r="E55" s="77">
        <v>9</v>
      </c>
      <c r="F55" s="77">
        <v>117</v>
      </c>
      <c r="G55" s="74"/>
      <c r="H55" s="77">
        <v>5000</v>
      </c>
      <c r="I55" s="79">
        <f t="shared" si="3"/>
        <v>9000000</v>
      </c>
    </row>
    <row r="56" spans="2:9" x14ac:dyDescent="0.25">
      <c r="B56" s="78" t="s">
        <v>54</v>
      </c>
      <c r="C56" s="77">
        <v>93000</v>
      </c>
      <c r="D56" s="77">
        <v>5000</v>
      </c>
      <c r="E56" s="77">
        <v>11</v>
      </c>
      <c r="F56" s="77">
        <v>124</v>
      </c>
      <c r="G56" s="74"/>
      <c r="H56" s="77">
        <v>5000</v>
      </c>
      <c r="I56" s="79">
        <f t="shared" si="3"/>
        <v>11000000</v>
      </c>
    </row>
    <row r="57" spans="2:9" x14ac:dyDescent="0.25">
      <c r="B57" s="78" t="s">
        <v>58</v>
      </c>
      <c r="C57" s="77">
        <v>237500</v>
      </c>
      <c r="D57" s="77">
        <v>5000</v>
      </c>
      <c r="E57" s="77">
        <v>23</v>
      </c>
      <c r="F57" s="77">
        <v>367</v>
      </c>
      <c r="G57" s="74"/>
      <c r="H57" s="77">
        <v>5000</v>
      </c>
      <c r="I57" s="79">
        <f t="shared" si="3"/>
        <v>23000000</v>
      </c>
    </row>
    <row r="58" spans="2:9" x14ac:dyDescent="0.25">
      <c r="B58" s="78" t="s">
        <v>59</v>
      </c>
      <c r="C58" s="77">
        <v>504750</v>
      </c>
      <c r="D58" s="77">
        <v>8000</v>
      </c>
      <c r="E58" s="77">
        <v>39</v>
      </c>
      <c r="F58" s="77">
        <v>439</v>
      </c>
      <c r="G58" s="74"/>
      <c r="H58" s="77">
        <v>8000</v>
      </c>
      <c r="I58" s="79">
        <f t="shared" si="3"/>
        <v>39000000</v>
      </c>
    </row>
    <row r="59" spans="2:9" x14ac:dyDescent="0.25">
      <c r="B59" s="78" t="s">
        <v>61</v>
      </c>
      <c r="C59" s="77">
        <v>779450</v>
      </c>
      <c r="D59" s="77">
        <v>25000</v>
      </c>
      <c r="E59" s="77">
        <v>56</v>
      </c>
      <c r="F59" s="77">
        <v>1576</v>
      </c>
      <c r="G59" s="74"/>
      <c r="H59" s="77">
        <v>25000</v>
      </c>
      <c r="I59" s="79">
        <f t="shared" si="3"/>
        <v>56000000</v>
      </c>
    </row>
    <row r="60" spans="2:9" x14ac:dyDescent="0.25">
      <c r="B60" s="78" t="s">
        <v>56</v>
      </c>
      <c r="C60" s="77">
        <v>312680</v>
      </c>
      <c r="D60" s="77">
        <v>30000</v>
      </c>
      <c r="E60" s="77">
        <v>38</v>
      </c>
      <c r="F60" s="77">
        <v>610</v>
      </c>
      <c r="G60" s="74"/>
      <c r="H60" s="77">
        <v>30000</v>
      </c>
      <c r="I60" s="79">
        <f t="shared" si="3"/>
        <v>38000000</v>
      </c>
    </row>
  </sheetData>
  <mergeCells count="7">
    <mergeCell ref="H42:H43"/>
    <mergeCell ref="I42:I43"/>
    <mergeCell ref="B42:B43"/>
    <mergeCell ref="C42:C43"/>
    <mergeCell ref="D42:D43"/>
    <mergeCell ref="E42:E43"/>
    <mergeCell ref="F42:F43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G90"/>
  <sheetViews>
    <sheetView topLeftCell="A46" workbookViewId="0">
      <selection activeCell="J12" sqref="J12"/>
    </sheetView>
  </sheetViews>
  <sheetFormatPr defaultRowHeight="12.75" x14ac:dyDescent="0.25"/>
  <cols>
    <col min="1" max="7" width="9.140625" style="198"/>
    <col min="8" max="8" width="9.140625" style="198" customWidth="1"/>
    <col min="9" max="16" width="9.140625" style="198"/>
    <col min="17" max="18" width="10" style="198" customWidth="1"/>
    <col min="19" max="16384" width="9.140625" style="198"/>
  </cols>
  <sheetData>
    <row r="2" spans="2:19" ht="14.25" x14ac:dyDescent="0.3">
      <c r="B2" s="510" t="s">
        <v>150</v>
      </c>
      <c r="C2" s="510"/>
      <c r="D2" s="510"/>
      <c r="E2" s="510"/>
      <c r="F2" s="510"/>
      <c r="G2" s="510"/>
      <c r="M2" s="510" t="s">
        <v>150</v>
      </c>
      <c r="N2" s="510"/>
      <c r="O2" s="510"/>
      <c r="P2" s="510"/>
      <c r="Q2" s="510"/>
      <c r="R2" s="510"/>
    </row>
    <row r="3" spans="2:19" ht="28.5" x14ac:dyDescent="0.3">
      <c r="B3" s="199" t="s">
        <v>134</v>
      </c>
      <c r="C3" s="199" t="s">
        <v>145</v>
      </c>
      <c r="D3" s="200" t="s">
        <v>146</v>
      </c>
      <c r="E3" s="200" t="s">
        <v>147</v>
      </c>
      <c r="F3" s="200" t="s">
        <v>148</v>
      </c>
      <c r="G3" s="200" t="s">
        <v>149</v>
      </c>
      <c r="M3" s="199" t="s">
        <v>134</v>
      </c>
      <c r="N3" s="199" t="s">
        <v>145</v>
      </c>
      <c r="O3" s="200" t="s">
        <v>146</v>
      </c>
      <c r="P3" s="215" t="s">
        <v>195</v>
      </c>
      <c r="Q3" s="215" t="s">
        <v>196</v>
      </c>
      <c r="R3" s="215" t="s">
        <v>197</v>
      </c>
    </row>
    <row r="4" spans="2:19" x14ac:dyDescent="0.25">
      <c r="B4" s="201" t="s">
        <v>135</v>
      </c>
      <c r="C4" s="204">
        <v>115</v>
      </c>
      <c r="D4" s="207">
        <f>500/9</f>
        <v>55.555555555555557</v>
      </c>
      <c r="E4" s="207">
        <f>C4-D4</f>
        <v>59.444444444444443</v>
      </c>
      <c r="F4" s="207">
        <f>E4*E4</f>
        <v>3533.6419753086416</v>
      </c>
      <c r="G4" s="207">
        <f>F4/D4</f>
        <v>63.605555555555547</v>
      </c>
      <c r="I4" s="198">
        <f>115/500</f>
        <v>0.23</v>
      </c>
      <c r="M4" s="201" t="s">
        <v>135</v>
      </c>
      <c r="N4" s="295">
        <v>115</v>
      </c>
      <c r="O4" s="276">
        <f>500/9</f>
        <v>55.555555555555557</v>
      </c>
      <c r="P4" s="207">
        <f>N4/O4</f>
        <v>2.0699999999999998</v>
      </c>
      <c r="Q4" s="207">
        <f>LN(P4)</f>
        <v>0.72754860727727766</v>
      </c>
      <c r="R4" s="207">
        <f>N4*Q4</f>
        <v>83.668089836886935</v>
      </c>
    </row>
    <row r="5" spans="2:19" x14ac:dyDescent="0.25">
      <c r="B5" s="202" t="s">
        <v>136</v>
      </c>
      <c r="C5" s="205">
        <v>90</v>
      </c>
      <c r="D5" s="208">
        <f t="shared" ref="D5:D12" si="0">500/9</f>
        <v>55.555555555555557</v>
      </c>
      <c r="E5" s="208">
        <f t="shared" ref="E5:E12" si="1">C5-D5</f>
        <v>34.444444444444443</v>
      </c>
      <c r="F5" s="208">
        <f t="shared" ref="F5:F12" si="2">E5*E5</f>
        <v>1186.4197530864196</v>
      </c>
      <c r="G5" s="208">
        <f t="shared" ref="G5:G12" si="3">F5/D5</f>
        <v>21.355555555555554</v>
      </c>
      <c r="M5" s="202" t="s">
        <v>136</v>
      </c>
      <c r="N5" s="296">
        <v>90</v>
      </c>
      <c r="O5" s="297">
        <f t="shared" ref="O5:O12" si="4">500/9</f>
        <v>55.555555555555557</v>
      </c>
      <c r="P5" s="208">
        <f t="shared" ref="P5:P12" si="5">N5/O5</f>
        <v>1.6199999999999999</v>
      </c>
      <c r="Q5" s="208">
        <f t="shared" ref="Q5:Q12" si="6">LN(P5)</f>
        <v>0.48242614924429261</v>
      </c>
      <c r="R5" s="208">
        <f t="shared" ref="R5:R12" si="7">N5*Q5</f>
        <v>43.418353431986333</v>
      </c>
    </row>
    <row r="6" spans="2:19" x14ac:dyDescent="0.25">
      <c r="B6" s="202" t="s">
        <v>137</v>
      </c>
      <c r="C6" s="205">
        <v>105</v>
      </c>
      <c r="D6" s="208">
        <f t="shared" si="0"/>
        <v>55.555555555555557</v>
      </c>
      <c r="E6" s="208">
        <f t="shared" si="1"/>
        <v>49.444444444444443</v>
      </c>
      <c r="F6" s="208">
        <f t="shared" si="2"/>
        <v>2444.7530864197529</v>
      </c>
      <c r="G6" s="208">
        <f t="shared" si="3"/>
        <v>44.005555555555553</v>
      </c>
      <c r="I6" s="198">
        <f>90/500</f>
        <v>0.18</v>
      </c>
      <c r="M6" s="202" t="s">
        <v>137</v>
      </c>
      <c r="N6" s="296">
        <v>105</v>
      </c>
      <c r="O6" s="297">
        <f t="shared" si="4"/>
        <v>55.555555555555557</v>
      </c>
      <c r="P6" s="208">
        <f t="shared" si="5"/>
        <v>1.89</v>
      </c>
      <c r="Q6" s="208">
        <f t="shared" si="6"/>
        <v>0.636576829071551</v>
      </c>
      <c r="R6" s="208">
        <f t="shared" si="7"/>
        <v>66.840567052512853</v>
      </c>
    </row>
    <row r="7" spans="2:19" x14ac:dyDescent="0.25">
      <c r="B7" s="202" t="s">
        <v>138</v>
      </c>
      <c r="C7" s="205">
        <v>70</v>
      </c>
      <c r="D7" s="208">
        <f t="shared" si="0"/>
        <v>55.555555555555557</v>
      </c>
      <c r="E7" s="208">
        <f t="shared" si="1"/>
        <v>14.444444444444443</v>
      </c>
      <c r="F7" s="208">
        <f t="shared" si="2"/>
        <v>208.64197530864192</v>
      </c>
      <c r="G7" s="208">
        <f t="shared" si="3"/>
        <v>3.7555555555555542</v>
      </c>
      <c r="M7" s="202" t="s">
        <v>138</v>
      </c>
      <c r="N7" s="296">
        <v>70</v>
      </c>
      <c r="O7" s="297">
        <f t="shared" si="4"/>
        <v>55.555555555555557</v>
      </c>
      <c r="P7" s="208">
        <f t="shared" si="5"/>
        <v>1.26</v>
      </c>
      <c r="Q7" s="208">
        <f t="shared" si="6"/>
        <v>0.23111172096338664</v>
      </c>
      <c r="R7" s="208">
        <f t="shared" si="7"/>
        <v>16.177820467437066</v>
      </c>
    </row>
    <row r="8" spans="2:19" x14ac:dyDescent="0.25">
      <c r="B8" s="202" t="s">
        <v>139</v>
      </c>
      <c r="C8" s="205">
        <v>30</v>
      </c>
      <c r="D8" s="208">
        <f t="shared" si="0"/>
        <v>55.555555555555557</v>
      </c>
      <c r="E8" s="208">
        <f t="shared" si="1"/>
        <v>-25.555555555555557</v>
      </c>
      <c r="F8" s="208">
        <f t="shared" si="2"/>
        <v>653.08641975308649</v>
      </c>
      <c r="G8" s="208">
        <f t="shared" si="3"/>
        <v>11.755555555555556</v>
      </c>
      <c r="M8" s="202" t="s">
        <v>139</v>
      </c>
      <c r="N8" s="296">
        <v>30</v>
      </c>
      <c r="O8" s="297">
        <f t="shared" si="4"/>
        <v>55.555555555555557</v>
      </c>
      <c r="P8" s="208">
        <f t="shared" si="5"/>
        <v>0.54</v>
      </c>
      <c r="Q8" s="208">
        <f t="shared" si="6"/>
        <v>-0.61618613942381695</v>
      </c>
      <c r="R8" s="208">
        <f t="shared" si="7"/>
        <v>-18.485584182714508</v>
      </c>
    </row>
    <row r="9" spans="2:19" x14ac:dyDescent="0.25">
      <c r="B9" s="202" t="s">
        <v>140</v>
      </c>
      <c r="C9" s="205">
        <v>40</v>
      </c>
      <c r="D9" s="208">
        <f t="shared" si="0"/>
        <v>55.555555555555557</v>
      </c>
      <c r="E9" s="208">
        <f t="shared" si="1"/>
        <v>-15.555555555555557</v>
      </c>
      <c r="F9" s="208">
        <f t="shared" si="2"/>
        <v>241.97530864197535</v>
      </c>
      <c r="G9" s="208">
        <f t="shared" si="3"/>
        <v>4.3555555555555561</v>
      </c>
      <c r="M9" s="202" t="s">
        <v>140</v>
      </c>
      <c r="N9" s="296">
        <v>40</v>
      </c>
      <c r="O9" s="297">
        <f t="shared" si="4"/>
        <v>55.555555555555557</v>
      </c>
      <c r="P9" s="208">
        <f t="shared" si="5"/>
        <v>0.72</v>
      </c>
      <c r="Q9" s="208">
        <f t="shared" si="6"/>
        <v>-0.3285040669720361</v>
      </c>
      <c r="R9" s="208">
        <f t="shared" si="7"/>
        <v>-13.140162678881444</v>
      </c>
    </row>
    <row r="10" spans="2:19" x14ac:dyDescent="0.25">
      <c r="B10" s="202" t="s">
        <v>141</v>
      </c>
      <c r="C10" s="205">
        <v>30</v>
      </c>
      <c r="D10" s="208">
        <f t="shared" si="0"/>
        <v>55.555555555555557</v>
      </c>
      <c r="E10" s="208">
        <f t="shared" si="1"/>
        <v>-25.555555555555557</v>
      </c>
      <c r="F10" s="208">
        <f t="shared" si="2"/>
        <v>653.08641975308649</v>
      </c>
      <c r="G10" s="208">
        <f t="shared" si="3"/>
        <v>11.755555555555556</v>
      </c>
      <c r="M10" s="202" t="s">
        <v>141</v>
      </c>
      <c r="N10" s="296">
        <v>30</v>
      </c>
      <c r="O10" s="297">
        <f t="shared" si="4"/>
        <v>55.555555555555557</v>
      </c>
      <c r="P10" s="208">
        <f t="shared" si="5"/>
        <v>0.54</v>
      </c>
      <c r="Q10" s="208">
        <f t="shared" si="6"/>
        <v>-0.61618613942381695</v>
      </c>
      <c r="R10" s="208">
        <f t="shared" si="7"/>
        <v>-18.485584182714508</v>
      </c>
    </row>
    <row r="11" spans="2:19" x14ac:dyDescent="0.25">
      <c r="B11" s="202" t="s">
        <v>142</v>
      </c>
      <c r="C11" s="205">
        <v>5</v>
      </c>
      <c r="D11" s="208">
        <f t="shared" si="0"/>
        <v>55.555555555555557</v>
      </c>
      <c r="E11" s="208">
        <f t="shared" si="1"/>
        <v>-50.555555555555557</v>
      </c>
      <c r="F11" s="208">
        <f t="shared" si="2"/>
        <v>2555.8641975308642</v>
      </c>
      <c r="G11" s="208">
        <f t="shared" si="3"/>
        <v>46.005555555555553</v>
      </c>
      <c r="M11" s="202" t="s">
        <v>142</v>
      </c>
      <c r="N11" s="296">
        <v>5</v>
      </c>
      <c r="O11" s="297">
        <f t="shared" si="4"/>
        <v>55.555555555555557</v>
      </c>
      <c r="P11" s="208">
        <f t="shared" si="5"/>
        <v>0.09</v>
      </c>
      <c r="Q11" s="208">
        <f t="shared" si="6"/>
        <v>-2.4079456086518722</v>
      </c>
      <c r="R11" s="208">
        <f t="shared" si="7"/>
        <v>-12.039728043259361</v>
      </c>
    </row>
    <row r="12" spans="2:19" x14ac:dyDescent="0.25">
      <c r="B12" s="203" t="s">
        <v>143</v>
      </c>
      <c r="C12" s="206">
        <v>15</v>
      </c>
      <c r="D12" s="209">
        <f t="shared" si="0"/>
        <v>55.555555555555557</v>
      </c>
      <c r="E12" s="209">
        <f t="shared" si="1"/>
        <v>-40.555555555555557</v>
      </c>
      <c r="F12" s="209">
        <f t="shared" si="2"/>
        <v>1644.7530864197531</v>
      </c>
      <c r="G12" s="209">
        <f t="shared" si="3"/>
        <v>29.605555555555554</v>
      </c>
      <c r="M12" s="202" t="s">
        <v>143</v>
      </c>
      <c r="N12" s="296">
        <v>15</v>
      </c>
      <c r="O12" s="297">
        <f t="shared" si="4"/>
        <v>55.555555555555557</v>
      </c>
      <c r="P12" s="208">
        <f t="shared" si="5"/>
        <v>0.27</v>
      </c>
      <c r="Q12" s="208">
        <f t="shared" si="6"/>
        <v>-1.3093333199837622</v>
      </c>
      <c r="R12" s="208">
        <f t="shared" si="7"/>
        <v>-19.639999799756435</v>
      </c>
    </row>
    <row r="13" spans="2:19" ht="14.25" x14ac:dyDescent="0.3">
      <c r="B13" s="210" t="s">
        <v>73</v>
      </c>
      <c r="C13" s="200">
        <f>SUM(C4:C12)</f>
        <v>500</v>
      </c>
      <c r="D13" s="200">
        <f>SUM(D4:D12)</f>
        <v>499.99999999999994</v>
      </c>
      <c r="E13" s="200">
        <f>SUM(E4:E12)</f>
        <v>0</v>
      </c>
      <c r="F13" s="200">
        <f>SUM(F4:F12)</f>
        <v>13122.222222222221</v>
      </c>
      <c r="G13" s="200">
        <f>SUM(G4:G12)</f>
        <v>236.20000000000002</v>
      </c>
      <c r="M13" s="518" t="s">
        <v>73</v>
      </c>
      <c r="N13" s="519"/>
      <c r="O13" s="519"/>
      <c r="P13" s="519"/>
      <c r="Q13" s="519"/>
      <c r="R13" s="298">
        <f>SUM(R4:R12)</f>
        <v>128.31377190149692</v>
      </c>
    </row>
    <row r="14" spans="2:19" x14ac:dyDescent="0.25">
      <c r="S14" s="198">
        <f>2*R13</f>
        <v>256.62754380299384</v>
      </c>
    </row>
    <row r="15" spans="2:19" x14ac:dyDescent="0.25">
      <c r="H15" s="198">
        <f>SUM(C7:C12)</f>
        <v>190</v>
      </c>
    </row>
    <row r="19" spans="1:33" ht="28.5" x14ac:dyDescent="0.25">
      <c r="B19" s="221" t="s">
        <v>134</v>
      </c>
      <c r="C19" s="221" t="s">
        <v>151</v>
      </c>
      <c r="D19" s="221" t="s">
        <v>152</v>
      </c>
      <c r="E19" s="221" t="s">
        <v>153</v>
      </c>
      <c r="F19" s="221" t="s">
        <v>154</v>
      </c>
      <c r="G19" s="222" t="s">
        <v>0</v>
      </c>
      <c r="H19" s="222"/>
    </row>
    <row r="20" spans="1:33" x14ac:dyDescent="0.25">
      <c r="B20" s="223" t="s">
        <v>135</v>
      </c>
      <c r="C20" s="224">
        <f>0.24*C4</f>
        <v>27.599999999999998</v>
      </c>
      <c r="D20" s="222">
        <f>0.24*C4</f>
        <v>27.599999999999998</v>
      </c>
      <c r="E20" s="222">
        <f>0.22*C4</f>
        <v>25.3</v>
      </c>
      <c r="F20" s="222">
        <f>C4-C20-D20-E20</f>
        <v>34.500000000000014</v>
      </c>
      <c r="G20" s="222">
        <f>SUM(C20:F20)</f>
        <v>115.00000000000001</v>
      </c>
      <c r="H20" s="222"/>
    </row>
    <row r="21" spans="1:33" x14ac:dyDescent="0.25">
      <c r="B21" s="225" t="s">
        <v>136</v>
      </c>
      <c r="C21" s="226">
        <f>0.16*C5</f>
        <v>14.4</v>
      </c>
      <c r="D21" s="222">
        <f>0.14*C5</f>
        <v>12.600000000000001</v>
      </c>
      <c r="E21" s="222">
        <f>0.14*C5</f>
        <v>12.600000000000001</v>
      </c>
      <c r="F21" s="222">
        <f>C5-C21-D21-E21</f>
        <v>50.399999999999991</v>
      </c>
      <c r="G21" s="222">
        <f>SUM(C21:F21)</f>
        <v>90</v>
      </c>
      <c r="H21" s="222"/>
    </row>
    <row r="22" spans="1:33" x14ac:dyDescent="0.25">
      <c r="B22" s="225" t="s">
        <v>137</v>
      </c>
      <c r="C22" s="226">
        <f>0.19*C6</f>
        <v>19.95</v>
      </c>
      <c r="D22" s="222">
        <f>0.23*C6</f>
        <v>24.150000000000002</v>
      </c>
      <c r="E22" s="222">
        <f>0.21*C6</f>
        <v>22.05</v>
      </c>
      <c r="F22" s="222">
        <f>C6-D22-C22-E22</f>
        <v>38.849999999999994</v>
      </c>
      <c r="G22" s="222">
        <f>SUM(C22:F22)</f>
        <v>105</v>
      </c>
      <c r="H22" s="222"/>
    </row>
    <row r="23" spans="1:33" x14ac:dyDescent="0.25">
      <c r="B23" s="227" t="s">
        <v>143</v>
      </c>
      <c r="C23" s="228">
        <f>0.41*H15</f>
        <v>77.899999999999991</v>
      </c>
      <c r="D23" s="222">
        <f>0.39*H15</f>
        <v>74.100000000000009</v>
      </c>
      <c r="E23" s="222">
        <f>0.43*H15</f>
        <v>81.7</v>
      </c>
      <c r="F23" s="222">
        <f>H15-C23-D23-E23</f>
        <v>-43.7</v>
      </c>
      <c r="G23" s="222">
        <f>SUM(C23:F23)</f>
        <v>190</v>
      </c>
      <c r="H23" s="222">
        <f>SUM(G20:G23)</f>
        <v>500</v>
      </c>
    </row>
    <row r="24" spans="1:33" ht="14.25" x14ac:dyDescent="0.3">
      <c r="B24" s="229" t="s">
        <v>73</v>
      </c>
      <c r="C24" s="230">
        <f>SUM(C20:C23)</f>
        <v>139.85</v>
      </c>
      <c r="D24" s="230">
        <f>SUM(D20:D23)</f>
        <v>138.45000000000002</v>
      </c>
      <c r="E24" s="230">
        <f>SUM(E20:E23)</f>
        <v>141.65</v>
      </c>
      <c r="F24" s="230">
        <f>SUM(F20:F23)</f>
        <v>80.05</v>
      </c>
      <c r="G24" s="222">
        <f>SUM(C24:F24)</f>
        <v>500.00000000000006</v>
      </c>
      <c r="H24" s="222"/>
    </row>
    <row r="25" spans="1:33" x14ac:dyDescent="0.25">
      <c r="U25" s="198" t="s">
        <v>198</v>
      </c>
    </row>
    <row r="26" spans="1:33" ht="14.25" x14ac:dyDescent="0.3">
      <c r="B26" s="510" t="s">
        <v>156</v>
      </c>
      <c r="C26" s="510"/>
      <c r="D26" s="510"/>
      <c r="E26" s="510"/>
      <c r="F26" s="510"/>
      <c r="G26" s="510"/>
      <c r="I26" s="510" t="s">
        <v>157</v>
      </c>
      <c r="J26" s="510"/>
      <c r="K26" s="510"/>
      <c r="L26" s="510"/>
      <c r="M26" s="510"/>
      <c r="N26" s="510"/>
      <c r="U26" s="510" t="s">
        <v>156</v>
      </c>
      <c r="V26" s="510"/>
      <c r="W26" s="510"/>
      <c r="X26" s="510"/>
      <c r="Y26" s="510"/>
      <c r="Z26" s="510"/>
      <c r="AB26" s="510" t="s">
        <v>157</v>
      </c>
      <c r="AC26" s="510"/>
      <c r="AD26" s="510"/>
      <c r="AE26" s="510"/>
      <c r="AF26" s="510"/>
      <c r="AG26" s="510"/>
    </row>
    <row r="27" spans="1:33" ht="28.5" x14ac:dyDescent="0.3">
      <c r="B27" s="214" t="s">
        <v>134</v>
      </c>
      <c r="C27" s="214" t="s">
        <v>151</v>
      </c>
      <c r="D27" s="214" t="s">
        <v>152</v>
      </c>
      <c r="E27" s="214" t="s">
        <v>153</v>
      </c>
      <c r="F27" s="214" t="s">
        <v>154</v>
      </c>
      <c r="G27" s="210" t="s">
        <v>3</v>
      </c>
      <c r="I27" s="214" t="s">
        <v>134</v>
      </c>
      <c r="J27" s="214" t="s">
        <v>151</v>
      </c>
      <c r="K27" s="214" t="s">
        <v>152</v>
      </c>
      <c r="L27" s="214" t="s">
        <v>153</v>
      </c>
      <c r="M27" s="214" t="s">
        <v>154</v>
      </c>
      <c r="N27" s="232" t="s">
        <v>3</v>
      </c>
      <c r="U27" s="214" t="s">
        <v>134</v>
      </c>
      <c r="V27" s="214" t="s">
        <v>151</v>
      </c>
      <c r="W27" s="214" t="s">
        <v>152</v>
      </c>
      <c r="X27" s="214" t="s">
        <v>153</v>
      </c>
      <c r="Y27" s="214" t="s">
        <v>154</v>
      </c>
      <c r="Z27" s="210" t="s">
        <v>3</v>
      </c>
      <c r="AB27" s="214" t="s">
        <v>134</v>
      </c>
      <c r="AC27" s="214" t="s">
        <v>151</v>
      </c>
      <c r="AD27" s="214" t="s">
        <v>152</v>
      </c>
      <c r="AE27" s="214" t="s">
        <v>153</v>
      </c>
      <c r="AF27" s="214" t="s">
        <v>154</v>
      </c>
      <c r="AG27" s="232" t="s">
        <v>3</v>
      </c>
    </row>
    <row r="28" spans="1:33" ht="14.25" x14ac:dyDescent="0.3">
      <c r="B28" s="215" t="s">
        <v>135</v>
      </c>
      <c r="C28" s="218">
        <v>28</v>
      </c>
      <c r="D28" s="218">
        <v>28</v>
      </c>
      <c r="E28" s="218">
        <v>25</v>
      </c>
      <c r="F28" s="218">
        <v>34</v>
      </c>
      <c r="G28" s="234">
        <f>SUM(C28:F28)</f>
        <v>115</v>
      </c>
      <c r="I28" s="215" t="s">
        <v>135</v>
      </c>
      <c r="J28" s="207">
        <f>C32*$G$28/$G$32</f>
        <v>22.54</v>
      </c>
      <c r="K28" s="207">
        <f>D32*$G$28/$G$32</f>
        <v>23.46</v>
      </c>
      <c r="L28" s="207">
        <f>E32*$G$28/$G$32</f>
        <v>23.23</v>
      </c>
      <c r="M28" s="207">
        <f>F32*$G$28/$G$32</f>
        <v>45.77</v>
      </c>
      <c r="N28" s="218">
        <f>SUM(J28:M28)</f>
        <v>115</v>
      </c>
      <c r="U28" s="215" t="s">
        <v>135</v>
      </c>
      <c r="V28" s="218">
        <v>28</v>
      </c>
      <c r="W28" s="218">
        <v>28</v>
      </c>
      <c r="X28" s="218">
        <v>25</v>
      </c>
      <c r="Y28" s="218">
        <v>34</v>
      </c>
      <c r="Z28" s="234">
        <f>SUM(V28:Y28)</f>
        <v>115</v>
      </c>
      <c r="AB28" s="215" t="s">
        <v>135</v>
      </c>
      <c r="AC28" s="207">
        <f>V32*$G$28/$G$32</f>
        <v>22.54</v>
      </c>
      <c r="AD28" s="207">
        <f>W32*$G$28/$G$32</f>
        <v>23.46</v>
      </c>
      <c r="AE28" s="207">
        <f>X32*$G$28/$G$32</f>
        <v>23.23</v>
      </c>
      <c r="AF28" s="207">
        <f>Y32*$G$28/$G$32</f>
        <v>45.77</v>
      </c>
      <c r="AG28" s="218">
        <f>SUM(AC28:AF28)</f>
        <v>115</v>
      </c>
    </row>
    <row r="29" spans="1:33" ht="14.25" x14ac:dyDescent="0.3">
      <c r="A29" s="198" t="s">
        <v>155</v>
      </c>
      <c r="B29" s="216" t="s">
        <v>136</v>
      </c>
      <c r="C29" s="219">
        <v>14</v>
      </c>
      <c r="D29" s="219">
        <v>13</v>
      </c>
      <c r="E29" s="219">
        <v>13</v>
      </c>
      <c r="F29" s="219">
        <v>50</v>
      </c>
      <c r="G29" s="235">
        <f>SUM(C29:F29)</f>
        <v>90</v>
      </c>
      <c r="I29" s="216" t="s">
        <v>136</v>
      </c>
      <c r="J29" s="208">
        <f>C32*$G$29/$G$32</f>
        <v>17.64</v>
      </c>
      <c r="K29" s="208">
        <f>D32*$G$29/$G$32</f>
        <v>18.36</v>
      </c>
      <c r="L29" s="208">
        <f>E32*$G$29/$G$32</f>
        <v>18.18</v>
      </c>
      <c r="M29" s="208">
        <f>F32*$G$29/$G$32</f>
        <v>35.82</v>
      </c>
      <c r="N29" s="219">
        <f>SUM(J29:M29)</f>
        <v>90</v>
      </c>
      <c r="U29" s="216" t="s">
        <v>136</v>
      </c>
      <c r="V29" s="219">
        <v>14</v>
      </c>
      <c r="W29" s="219">
        <v>13</v>
      </c>
      <c r="X29" s="219">
        <v>13</v>
      </c>
      <c r="Y29" s="219">
        <v>50</v>
      </c>
      <c r="Z29" s="235">
        <f>SUM(V29:Y29)</f>
        <v>90</v>
      </c>
      <c r="AB29" s="216" t="s">
        <v>136</v>
      </c>
      <c r="AC29" s="208">
        <f>V32*$G$29/$G$32</f>
        <v>17.64</v>
      </c>
      <c r="AD29" s="208">
        <f>W32*$G$29/$G$32</f>
        <v>18.36</v>
      </c>
      <c r="AE29" s="208">
        <f>X32*$G$29/$G$32</f>
        <v>18.18</v>
      </c>
      <c r="AF29" s="208">
        <f>Y32*$G$29/$G$32</f>
        <v>35.82</v>
      </c>
      <c r="AG29" s="219">
        <f>SUM(AC29:AF29)</f>
        <v>90</v>
      </c>
    </row>
    <row r="30" spans="1:33" ht="14.25" x14ac:dyDescent="0.3">
      <c r="B30" s="216" t="s">
        <v>137</v>
      </c>
      <c r="C30" s="219">
        <v>20</v>
      </c>
      <c r="D30" s="219">
        <v>24</v>
      </c>
      <c r="E30" s="219">
        <v>22</v>
      </c>
      <c r="F30" s="219">
        <v>39</v>
      </c>
      <c r="G30" s="235">
        <f>SUM(C30:F30)</f>
        <v>105</v>
      </c>
      <c r="I30" s="216" t="s">
        <v>137</v>
      </c>
      <c r="J30" s="208">
        <f>C32*$G$30/$G$32</f>
        <v>20.58</v>
      </c>
      <c r="K30" s="208">
        <f>D32*$G$30/$G$32</f>
        <v>21.42</v>
      </c>
      <c r="L30" s="208">
        <f>E32*$G$30/$G$32</f>
        <v>21.21</v>
      </c>
      <c r="M30" s="208">
        <f>F32*$G$30/$G$32</f>
        <v>41.79</v>
      </c>
      <c r="N30" s="219">
        <f>SUM(J30:M30)</f>
        <v>105</v>
      </c>
      <c r="U30" s="216" t="s">
        <v>137</v>
      </c>
      <c r="V30" s="219">
        <v>20</v>
      </c>
      <c r="W30" s="219">
        <v>24</v>
      </c>
      <c r="X30" s="219">
        <v>22</v>
      </c>
      <c r="Y30" s="219">
        <v>39</v>
      </c>
      <c r="Z30" s="235">
        <f>SUM(V30:Y30)</f>
        <v>105</v>
      </c>
      <c r="AB30" s="216" t="s">
        <v>137</v>
      </c>
      <c r="AC30" s="208">
        <f>V32*$G$30/$G$32</f>
        <v>20.58</v>
      </c>
      <c r="AD30" s="208">
        <f>W32*$G$30/$G$32</f>
        <v>21.42</v>
      </c>
      <c r="AE30" s="208">
        <f>X32*$G$30/$G$32</f>
        <v>21.21</v>
      </c>
      <c r="AF30" s="208">
        <f>Y32*$G$30/$G$32</f>
        <v>41.79</v>
      </c>
      <c r="AG30" s="219">
        <f>SUM(AC30:AF30)</f>
        <v>105</v>
      </c>
    </row>
    <row r="31" spans="1:33" ht="14.25" x14ac:dyDescent="0.3">
      <c r="B31" s="217" t="s">
        <v>143</v>
      </c>
      <c r="C31" s="220">
        <v>36</v>
      </c>
      <c r="D31" s="220">
        <v>37</v>
      </c>
      <c r="E31" s="220">
        <v>41</v>
      </c>
      <c r="F31" s="220">
        <f>H15-C31-D31-E31</f>
        <v>76</v>
      </c>
      <c r="G31" s="236">
        <f>SUM(C31:F31)</f>
        <v>190</v>
      </c>
      <c r="I31" s="217" t="s">
        <v>143</v>
      </c>
      <c r="J31" s="209">
        <f>C32*$G$31/$G$32</f>
        <v>37.24</v>
      </c>
      <c r="K31" s="209">
        <f>D32*$G$31/$G$32</f>
        <v>38.76</v>
      </c>
      <c r="L31" s="209">
        <f>E32*$G$31/$G$32</f>
        <v>38.380000000000003</v>
      </c>
      <c r="M31" s="209">
        <f>F32*$G$31/$G$32</f>
        <v>75.62</v>
      </c>
      <c r="N31" s="220">
        <f>SUM(J31:M31)</f>
        <v>190</v>
      </c>
      <c r="U31" s="217" t="s">
        <v>143</v>
      </c>
      <c r="V31" s="220">
        <v>36</v>
      </c>
      <c r="W31" s="220">
        <v>37</v>
      </c>
      <c r="X31" s="220">
        <v>41</v>
      </c>
      <c r="Y31" s="220">
        <v>76</v>
      </c>
      <c r="Z31" s="236">
        <f>SUM(V31:Y31)</f>
        <v>190</v>
      </c>
      <c r="AB31" s="217" t="s">
        <v>143</v>
      </c>
      <c r="AC31" s="209">
        <f>V32*$G$31/$G$32</f>
        <v>37.24</v>
      </c>
      <c r="AD31" s="209">
        <f>W32*$G$31/$G$32</f>
        <v>38.76</v>
      </c>
      <c r="AE31" s="209">
        <f>X32*$G$31/$G$32</f>
        <v>38.380000000000003</v>
      </c>
      <c r="AF31" s="209">
        <f>Y32*$G$31/$G$32</f>
        <v>75.62</v>
      </c>
      <c r="AG31" s="220">
        <f>SUM(AC31:AF31)</f>
        <v>190</v>
      </c>
    </row>
    <row r="32" spans="1:33" ht="14.25" x14ac:dyDescent="0.3">
      <c r="B32" s="210" t="s">
        <v>3</v>
      </c>
      <c r="C32" s="233">
        <f>SUM(C28:C31)</f>
        <v>98</v>
      </c>
      <c r="D32" s="233">
        <f>SUM(D28:D31)</f>
        <v>102</v>
      </c>
      <c r="E32" s="233">
        <f>SUM(E28:E31)</f>
        <v>101</v>
      </c>
      <c r="F32" s="233">
        <f>SUM(F28:F31)</f>
        <v>199</v>
      </c>
      <c r="G32" s="233">
        <f>SUM(G28:G31)</f>
        <v>500</v>
      </c>
      <c r="I32" s="210" t="s">
        <v>3</v>
      </c>
      <c r="J32" s="231">
        <f>SUM(J28:J31)</f>
        <v>98</v>
      </c>
      <c r="K32" s="231">
        <f>SUM(K28:K31)</f>
        <v>102</v>
      </c>
      <c r="L32" s="231">
        <f>SUM(L28:L31)</f>
        <v>101</v>
      </c>
      <c r="M32" s="231">
        <f>SUM(M28:M31)</f>
        <v>199</v>
      </c>
      <c r="N32" s="231">
        <f>SUM(N28:N31)</f>
        <v>500</v>
      </c>
      <c r="U32" s="210" t="s">
        <v>3</v>
      </c>
      <c r="V32" s="233">
        <f>SUM(V28:V31)</f>
        <v>98</v>
      </c>
      <c r="W32" s="233">
        <f>SUM(W28:W31)</f>
        <v>102</v>
      </c>
      <c r="X32" s="233">
        <f>SUM(X28:X31)</f>
        <v>101</v>
      </c>
      <c r="Y32" s="233">
        <f>SUM(Y28:Y31)</f>
        <v>199</v>
      </c>
      <c r="Z32" s="233">
        <f>SUM(Z28:Z31)</f>
        <v>500</v>
      </c>
      <c r="AB32" s="210" t="s">
        <v>3</v>
      </c>
      <c r="AC32" s="231">
        <f>SUM(AC28:AC31)</f>
        <v>98</v>
      </c>
      <c r="AD32" s="231">
        <f>SUM(AD28:AD31)</f>
        <v>102</v>
      </c>
      <c r="AE32" s="231">
        <f>SUM(AE28:AE31)</f>
        <v>101</v>
      </c>
      <c r="AF32" s="231">
        <f>SUM(AF28:AF31)</f>
        <v>199</v>
      </c>
      <c r="AG32" s="231">
        <f>SUM(AG28:AG31)</f>
        <v>500</v>
      </c>
    </row>
    <row r="33" spans="2:33" ht="14.25" x14ac:dyDescent="0.3">
      <c r="B33" s="212"/>
      <c r="C33" s="213"/>
      <c r="D33" s="213"/>
      <c r="E33" s="213"/>
      <c r="F33" s="213"/>
      <c r="G33" s="213"/>
      <c r="U33" s="212"/>
      <c r="V33" s="213"/>
      <c r="W33" s="213"/>
      <c r="X33" s="213"/>
      <c r="Y33" s="213"/>
      <c r="Z33" s="213"/>
    </row>
    <row r="34" spans="2:33" ht="14.25" x14ac:dyDescent="0.3">
      <c r="B34" s="510" t="s">
        <v>159</v>
      </c>
      <c r="C34" s="510"/>
      <c r="D34" s="510"/>
      <c r="E34" s="510"/>
      <c r="F34" s="510"/>
      <c r="G34" s="510"/>
      <c r="I34" s="510" t="s">
        <v>160</v>
      </c>
      <c r="J34" s="510"/>
      <c r="K34" s="510"/>
      <c r="L34" s="510"/>
      <c r="M34" s="510"/>
      <c r="N34" s="510"/>
      <c r="U34" s="510" t="s">
        <v>199</v>
      </c>
      <c r="V34" s="510"/>
      <c r="W34" s="510"/>
      <c r="X34" s="510"/>
      <c r="Y34" s="510"/>
      <c r="Z34" s="510"/>
      <c r="AB34" s="510" t="s">
        <v>160</v>
      </c>
      <c r="AC34" s="510"/>
      <c r="AD34" s="510"/>
      <c r="AE34" s="510"/>
      <c r="AF34" s="510"/>
      <c r="AG34" s="510"/>
    </row>
    <row r="35" spans="2:33" ht="28.5" x14ac:dyDescent="0.25">
      <c r="B35" s="214" t="s">
        <v>134</v>
      </c>
      <c r="C35" s="214" t="s">
        <v>151</v>
      </c>
      <c r="D35" s="214" t="s">
        <v>152</v>
      </c>
      <c r="E35" s="214" t="s">
        <v>153</v>
      </c>
      <c r="F35" s="214" t="s">
        <v>154</v>
      </c>
      <c r="G35" s="232" t="s">
        <v>3</v>
      </c>
      <c r="I35" s="214" t="s">
        <v>134</v>
      </c>
      <c r="J35" s="214" t="s">
        <v>151</v>
      </c>
      <c r="K35" s="214" t="s">
        <v>152</v>
      </c>
      <c r="L35" s="214" t="s">
        <v>153</v>
      </c>
      <c r="M35" s="214" t="s">
        <v>154</v>
      </c>
      <c r="N35" s="232"/>
      <c r="U35" s="214" t="s">
        <v>134</v>
      </c>
      <c r="V35" s="214" t="s">
        <v>151</v>
      </c>
      <c r="W35" s="214" t="s">
        <v>152</v>
      </c>
      <c r="X35" s="214" t="s">
        <v>153</v>
      </c>
      <c r="Y35" s="214" t="s">
        <v>154</v>
      </c>
      <c r="Z35" s="232" t="s">
        <v>3</v>
      </c>
      <c r="AB35" s="214" t="s">
        <v>134</v>
      </c>
      <c r="AC35" s="214" t="s">
        <v>151</v>
      </c>
      <c r="AD35" s="214" t="s">
        <v>152</v>
      </c>
      <c r="AE35" s="214" t="s">
        <v>153</v>
      </c>
      <c r="AF35" s="214" t="s">
        <v>154</v>
      </c>
      <c r="AG35" s="232"/>
    </row>
    <row r="36" spans="2:33" ht="14.25" x14ac:dyDescent="0.3">
      <c r="B36" s="237" t="s">
        <v>135</v>
      </c>
      <c r="C36" s="238">
        <f t="shared" ref="C36:F39" si="8">(C28-J28)*(C28-J28)/J28</f>
        <v>1.3226086956521743</v>
      </c>
      <c r="D36" s="238">
        <f t="shared" si="8"/>
        <v>0.87858482523444126</v>
      </c>
      <c r="E36" s="238">
        <f t="shared" si="8"/>
        <v>0.13486439948342654</v>
      </c>
      <c r="F36" s="238">
        <f t="shared" si="8"/>
        <v>3.0267183744811024</v>
      </c>
      <c r="G36" s="238">
        <f>SUM(C36:F36)</f>
        <v>5.3627762948511446</v>
      </c>
      <c r="I36" s="237" t="s">
        <v>135</v>
      </c>
      <c r="J36" s="238">
        <f t="shared" ref="J36:M39" si="9">(C28-J28)/SQRT(J28)</f>
        <v>1.150047258008198</v>
      </c>
      <c r="K36" s="238">
        <f t="shared" si="9"/>
        <v>0.93732855778240376</v>
      </c>
      <c r="L36" s="238">
        <f t="shared" si="9"/>
        <v>0.36723888612649197</v>
      </c>
      <c r="M36" s="238">
        <f t="shared" si="9"/>
        <v>-1.7397466408880067</v>
      </c>
      <c r="N36" s="238"/>
      <c r="U36" s="237" t="s">
        <v>135</v>
      </c>
      <c r="V36" s="238">
        <f>V28*LN(V28/AC28)</f>
        <v>6.073564043780066</v>
      </c>
      <c r="W36" s="238">
        <f t="shared" ref="W36:Y39" si="10">W28*LN(W28/AD28)</f>
        <v>4.9534146745964875</v>
      </c>
      <c r="X36" s="238">
        <f t="shared" si="10"/>
        <v>1.8357819521470726</v>
      </c>
      <c r="Y36" s="238">
        <f t="shared" si="10"/>
        <v>-10.10712322167924</v>
      </c>
      <c r="Z36" s="238">
        <f>SUM(V36:Y36)</f>
        <v>2.7556374488443875</v>
      </c>
      <c r="AB36" s="237" t="s">
        <v>135</v>
      </c>
      <c r="AC36" s="238">
        <f t="shared" ref="AC36:AF39" si="11">(V28-AC28)/SQRT(AC28)</f>
        <v>1.150047258008198</v>
      </c>
      <c r="AD36" s="238">
        <f t="shared" si="11"/>
        <v>0.93732855778240376</v>
      </c>
      <c r="AE36" s="238">
        <f t="shared" si="11"/>
        <v>0.36723888612649197</v>
      </c>
      <c r="AF36" s="238">
        <f t="shared" si="11"/>
        <v>-1.7397466408880067</v>
      </c>
      <c r="AG36" s="238"/>
    </row>
    <row r="37" spans="2:33" ht="14.25" x14ac:dyDescent="0.3">
      <c r="B37" s="239" t="s">
        <v>136</v>
      </c>
      <c r="C37" s="238">
        <f t="shared" si="8"/>
        <v>0.7511111111111114</v>
      </c>
      <c r="D37" s="238">
        <f t="shared" si="8"/>
        <v>1.5647930283224398</v>
      </c>
      <c r="E37" s="238">
        <f t="shared" si="8"/>
        <v>1.4759295929592957</v>
      </c>
      <c r="F37" s="238">
        <f t="shared" si="8"/>
        <v>5.6134115019542152</v>
      </c>
      <c r="G37" s="240">
        <f>SUM(C37:F37)</f>
        <v>9.4052452343470616</v>
      </c>
      <c r="I37" s="239" t="s">
        <v>136</v>
      </c>
      <c r="J37" s="238">
        <f t="shared" si="9"/>
        <v>-0.86666666666666681</v>
      </c>
      <c r="K37" s="238">
        <f t="shared" si="9"/>
        <v>-1.2509168750650219</v>
      </c>
      <c r="L37" s="238">
        <f t="shared" si="9"/>
        <v>-1.2148784272343041</v>
      </c>
      <c r="M37" s="238">
        <f t="shared" si="9"/>
        <v>2.369263915640091</v>
      </c>
      <c r="N37" s="240"/>
      <c r="U37" s="239" t="s">
        <v>136</v>
      </c>
      <c r="V37" s="238">
        <f>V29*LN(V29/AC29)</f>
        <v>-3.2355640934874139</v>
      </c>
      <c r="W37" s="238">
        <f t="shared" si="10"/>
        <v>-4.4879253605004976</v>
      </c>
      <c r="X37" s="238">
        <f t="shared" si="10"/>
        <v>-4.3598455067413475</v>
      </c>
      <c r="Y37" s="238">
        <f t="shared" si="10"/>
        <v>16.67583043977902</v>
      </c>
      <c r="Z37" s="240">
        <f>SUM(V37:Y37)</f>
        <v>4.5924954790497612</v>
      </c>
      <c r="AB37" s="239" t="s">
        <v>136</v>
      </c>
      <c r="AC37" s="238">
        <f t="shared" si="11"/>
        <v>-0.86666666666666681</v>
      </c>
      <c r="AD37" s="238">
        <f t="shared" si="11"/>
        <v>-1.2509168750650219</v>
      </c>
      <c r="AE37" s="238">
        <f t="shared" si="11"/>
        <v>-1.2148784272343041</v>
      </c>
      <c r="AF37" s="238">
        <f t="shared" si="11"/>
        <v>2.369263915640091</v>
      </c>
      <c r="AG37" s="240"/>
    </row>
    <row r="38" spans="2:33" ht="14.25" x14ac:dyDescent="0.3">
      <c r="B38" s="239" t="s">
        <v>137</v>
      </c>
      <c r="C38" s="238">
        <f t="shared" si="8"/>
        <v>1.6345966958211763E-2</v>
      </c>
      <c r="D38" s="238">
        <f t="shared" si="8"/>
        <v>0.31075630252100794</v>
      </c>
      <c r="E38" s="238">
        <f t="shared" si="8"/>
        <v>2.942479962281936E-2</v>
      </c>
      <c r="F38" s="238">
        <f t="shared" si="8"/>
        <v>0.18626704953338108</v>
      </c>
      <c r="G38" s="240">
        <f>SUM(C38:F38)</f>
        <v>0.54279411863542015</v>
      </c>
      <c r="I38" s="239" t="s">
        <v>137</v>
      </c>
      <c r="J38" s="238">
        <f t="shared" si="9"/>
        <v>-0.12785134711144722</v>
      </c>
      <c r="K38" s="238">
        <f t="shared" si="9"/>
        <v>0.557455202254861</v>
      </c>
      <c r="L38" s="238">
        <f t="shared" si="9"/>
        <v>0.171536583919639</v>
      </c>
      <c r="M38" s="238">
        <f t="shared" si="9"/>
        <v>-0.43158666514777894</v>
      </c>
      <c r="N38" s="240"/>
      <c r="U38" s="239" t="s">
        <v>137</v>
      </c>
      <c r="V38" s="238">
        <f>V30*LN(V30/AC30)</f>
        <v>-0.57174913703825014</v>
      </c>
      <c r="W38" s="238">
        <f t="shared" si="10"/>
        <v>2.72949036788023</v>
      </c>
      <c r="X38" s="238">
        <f t="shared" si="10"/>
        <v>0.80453306519794487</v>
      </c>
      <c r="Y38" s="238">
        <f t="shared" si="10"/>
        <v>-2.6947217828769272</v>
      </c>
      <c r="Z38" s="240">
        <f>SUM(V38:Y38)</f>
        <v>0.26755251316299766</v>
      </c>
      <c r="AB38" s="239" t="s">
        <v>137</v>
      </c>
      <c r="AC38" s="238">
        <f t="shared" si="11"/>
        <v>-0.12785134711144722</v>
      </c>
      <c r="AD38" s="238">
        <f t="shared" si="11"/>
        <v>0.557455202254861</v>
      </c>
      <c r="AE38" s="238">
        <f t="shared" si="11"/>
        <v>0.171536583919639</v>
      </c>
      <c r="AF38" s="238">
        <f t="shared" si="11"/>
        <v>-0.43158666514777894</v>
      </c>
      <c r="AG38" s="240"/>
    </row>
    <row r="39" spans="2:33" ht="14.25" x14ac:dyDescent="0.3">
      <c r="B39" s="241" t="s">
        <v>143</v>
      </c>
      <c r="C39" s="238">
        <f t="shared" si="8"/>
        <v>4.128893662728262E-2</v>
      </c>
      <c r="D39" s="238">
        <f t="shared" si="8"/>
        <v>7.9917440660474529E-2</v>
      </c>
      <c r="E39" s="238">
        <f t="shared" si="8"/>
        <v>0.17885356956748269</v>
      </c>
      <c r="F39" s="238">
        <f t="shared" si="8"/>
        <v>1.9095477386934213E-3</v>
      </c>
      <c r="G39" s="242">
        <f>SUM(C39:F39)</f>
        <v>0.30196949459393324</v>
      </c>
      <c r="I39" s="241" t="s">
        <v>143</v>
      </c>
      <c r="J39" s="238">
        <f t="shared" si="9"/>
        <v>-0.2031967928567836</v>
      </c>
      <c r="K39" s="238">
        <f t="shared" si="9"/>
        <v>-0.28269672912942329</v>
      </c>
      <c r="L39" s="238">
        <f t="shared" si="9"/>
        <v>0.42291082933342189</v>
      </c>
      <c r="M39" s="238">
        <f t="shared" si="9"/>
        <v>4.3698372265948547E-2</v>
      </c>
      <c r="N39" s="242"/>
      <c r="U39" s="241" t="s">
        <v>143</v>
      </c>
      <c r="V39" s="238">
        <f>V31*LN(V31/AC31)</f>
        <v>-1.2191225022992311</v>
      </c>
      <c r="W39" s="238">
        <f t="shared" si="10"/>
        <v>-1.7194223519986158</v>
      </c>
      <c r="X39" s="238">
        <f t="shared" si="10"/>
        <v>2.707458621114907</v>
      </c>
      <c r="Y39" s="238">
        <f t="shared" si="10"/>
        <v>0.38095317858935873</v>
      </c>
      <c r="Z39" s="242">
        <f>SUM(V39:Y39)</f>
        <v>0.14986694540641876</v>
      </c>
      <c r="AB39" s="241" t="s">
        <v>143</v>
      </c>
      <c r="AC39" s="238">
        <f t="shared" si="11"/>
        <v>-0.2031967928567836</v>
      </c>
      <c r="AD39" s="238">
        <f t="shared" si="11"/>
        <v>-0.28269672912942329</v>
      </c>
      <c r="AE39" s="238">
        <f t="shared" si="11"/>
        <v>0.42291082933342189</v>
      </c>
      <c r="AF39" s="238">
        <f t="shared" si="11"/>
        <v>4.3698372265948547E-2</v>
      </c>
      <c r="AG39" s="242"/>
    </row>
    <row r="40" spans="2:33" ht="14.25" x14ac:dyDescent="0.3">
      <c r="B40" s="515" t="s">
        <v>158</v>
      </c>
      <c r="C40" s="516"/>
      <c r="D40" s="516"/>
      <c r="E40" s="516"/>
      <c r="F40" s="517"/>
      <c r="G40" s="243">
        <f>SUM(G36:G39)</f>
        <v>15.61278514242756</v>
      </c>
      <c r="I40" s="515"/>
      <c r="J40" s="516"/>
      <c r="K40" s="516"/>
      <c r="L40" s="516"/>
      <c r="M40" s="517"/>
      <c r="N40" s="243"/>
      <c r="U40" s="515" t="s">
        <v>200</v>
      </c>
      <c r="V40" s="516"/>
      <c r="W40" s="516"/>
      <c r="X40" s="516"/>
      <c r="Y40" s="517"/>
      <c r="Z40" s="243">
        <f>SUM(Z36:Z39)</f>
        <v>7.7655523864635647</v>
      </c>
      <c r="AB40" s="515"/>
      <c r="AC40" s="516"/>
      <c r="AD40" s="516"/>
      <c r="AE40" s="516"/>
      <c r="AF40" s="517"/>
      <c r="AG40" s="243"/>
    </row>
    <row r="42" spans="2:33" x14ac:dyDescent="0.25">
      <c r="Z42" s="299"/>
    </row>
    <row r="45" spans="2:33" x14ac:dyDescent="0.25">
      <c r="V45" s="273"/>
      <c r="W45" s="273"/>
      <c r="X45" s="273"/>
      <c r="Y45" s="273"/>
      <c r="Z45" s="273"/>
      <c r="AA45" s="273"/>
      <c r="AB45" s="273"/>
    </row>
    <row r="46" spans="2:33" x14ac:dyDescent="0.25">
      <c r="V46" s="273"/>
      <c r="W46" s="273"/>
      <c r="X46" s="273"/>
      <c r="Y46" s="273"/>
      <c r="Z46" s="273"/>
      <c r="AA46" s="273"/>
      <c r="AB46" s="273"/>
    </row>
    <row r="47" spans="2:33" x14ac:dyDescent="0.25">
      <c r="V47" s="273"/>
      <c r="W47" s="273"/>
      <c r="X47" s="273"/>
      <c r="Y47" s="273"/>
      <c r="Z47" s="273"/>
      <c r="AA47" s="273"/>
      <c r="AB47" s="273"/>
    </row>
    <row r="48" spans="2:33" ht="14.25" x14ac:dyDescent="0.3">
      <c r="B48" s="510" t="s">
        <v>156</v>
      </c>
      <c r="C48" s="510"/>
      <c r="D48" s="510"/>
      <c r="E48" s="510"/>
      <c r="F48" s="510"/>
      <c r="G48" s="510"/>
    </row>
    <row r="49" spans="1:8" ht="28.5" x14ac:dyDescent="0.3">
      <c r="B49" s="214" t="s">
        <v>134</v>
      </c>
      <c r="C49" s="214" t="s">
        <v>151</v>
      </c>
      <c r="D49" s="214" t="s">
        <v>152</v>
      </c>
      <c r="E49" s="214" t="s">
        <v>153</v>
      </c>
      <c r="F49" s="214" t="s">
        <v>154</v>
      </c>
      <c r="G49" s="210" t="s">
        <v>3</v>
      </c>
    </row>
    <row r="50" spans="1:8" ht="14.25" x14ac:dyDescent="0.3">
      <c r="B50" s="215" t="s">
        <v>135</v>
      </c>
      <c r="C50" s="218">
        <v>28</v>
      </c>
      <c r="D50" s="218">
        <v>28</v>
      </c>
      <c r="E50" s="218">
        <v>25</v>
      </c>
      <c r="F50" s="218">
        <v>34</v>
      </c>
      <c r="G50" s="234">
        <f>SUM(C50:F50)</f>
        <v>115</v>
      </c>
    </row>
    <row r="51" spans="1:8" ht="14.25" x14ac:dyDescent="0.3">
      <c r="B51" s="216"/>
      <c r="C51" s="245">
        <f>C50/$G50</f>
        <v>0.24347826086956523</v>
      </c>
      <c r="D51" s="245">
        <f>D50/$G50</f>
        <v>0.24347826086956523</v>
      </c>
      <c r="E51" s="245">
        <f>E50/$G50</f>
        <v>0.21739130434782608</v>
      </c>
      <c r="F51" s="245">
        <f>F50/$G50</f>
        <v>0.29565217391304349</v>
      </c>
      <c r="G51" s="244">
        <f>G28/$G$32</f>
        <v>0.23</v>
      </c>
    </row>
    <row r="52" spans="1:8" ht="14.25" x14ac:dyDescent="0.3">
      <c r="B52" s="216" t="s">
        <v>136</v>
      </c>
      <c r="C52" s="219">
        <v>14</v>
      </c>
      <c r="D52" s="219">
        <v>13</v>
      </c>
      <c r="E52" s="219">
        <v>13</v>
      </c>
      <c r="F52" s="219">
        <v>50</v>
      </c>
      <c r="G52" s="235">
        <f>SUM(C52:F52)</f>
        <v>90</v>
      </c>
    </row>
    <row r="53" spans="1:8" ht="14.25" x14ac:dyDescent="0.3">
      <c r="B53" s="216"/>
      <c r="C53" s="245">
        <f>C52/$G52</f>
        <v>0.15555555555555556</v>
      </c>
      <c r="D53" s="245">
        <f>D52/$G52</f>
        <v>0.14444444444444443</v>
      </c>
      <c r="E53" s="245">
        <f>E52/$G52</f>
        <v>0.14444444444444443</v>
      </c>
      <c r="F53" s="245">
        <f>F52/$G52</f>
        <v>0.55555555555555558</v>
      </c>
      <c r="G53" s="244">
        <f>90/500</f>
        <v>0.18</v>
      </c>
    </row>
    <row r="54" spans="1:8" ht="14.25" x14ac:dyDescent="0.3">
      <c r="B54" s="216" t="s">
        <v>137</v>
      </c>
      <c r="C54" s="219">
        <v>20</v>
      </c>
      <c r="D54" s="219">
        <v>24</v>
      </c>
      <c r="E54" s="219">
        <v>22</v>
      </c>
      <c r="F54" s="219">
        <v>39</v>
      </c>
      <c r="G54" s="235">
        <f>SUM(C54:F54)</f>
        <v>105</v>
      </c>
    </row>
    <row r="55" spans="1:8" ht="14.25" x14ac:dyDescent="0.3">
      <c r="B55" s="216"/>
      <c r="C55" s="245">
        <f>C54/$G54</f>
        <v>0.19047619047619047</v>
      </c>
      <c r="D55" s="245">
        <f>D54/$G54</f>
        <v>0.22857142857142856</v>
      </c>
      <c r="E55" s="245">
        <f>E54/$G54</f>
        <v>0.20952380952380953</v>
      </c>
      <c r="F55" s="245">
        <f>F54/$G54</f>
        <v>0.37142857142857144</v>
      </c>
      <c r="G55" s="244">
        <f>105/500</f>
        <v>0.21</v>
      </c>
    </row>
    <row r="56" spans="1:8" ht="14.25" x14ac:dyDescent="0.3">
      <c r="B56" s="217" t="s">
        <v>143</v>
      </c>
      <c r="C56" s="220">
        <v>36</v>
      </c>
      <c r="D56" s="220">
        <v>37</v>
      </c>
      <c r="E56" s="220">
        <v>41</v>
      </c>
      <c r="F56" s="220">
        <v>76</v>
      </c>
      <c r="G56" s="236">
        <f>SUM(C56:F56)</f>
        <v>190</v>
      </c>
    </row>
    <row r="57" spans="1:8" ht="14.25" x14ac:dyDescent="0.3">
      <c r="B57" s="217"/>
      <c r="C57" s="245">
        <f>C56/$G56</f>
        <v>0.18947368421052632</v>
      </c>
      <c r="D57" s="245">
        <f>D56/$G56</f>
        <v>0.19473684210526315</v>
      </c>
      <c r="E57" s="245">
        <f>E56/$G56</f>
        <v>0.21578947368421053</v>
      </c>
      <c r="F57" s="245">
        <f>F56/$G56</f>
        <v>0.4</v>
      </c>
      <c r="G57" s="244">
        <f>190/500</f>
        <v>0.38</v>
      </c>
    </row>
    <row r="58" spans="1:8" ht="14.25" x14ac:dyDescent="0.3">
      <c r="B58" s="210" t="s">
        <v>3</v>
      </c>
      <c r="C58" s="233">
        <f>SUM(C50:C56)</f>
        <v>98.589510006901321</v>
      </c>
      <c r="D58" s="233">
        <f>SUM(D50:D56)</f>
        <v>102.61649413388544</v>
      </c>
      <c r="E58" s="233">
        <f>SUM(E50:E56)</f>
        <v>101.57135955831609</v>
      </c>
      <c r="F58" s="233">
        <f>SUM(F50:F56)</f>
        <v>200.22263630089716</v>
      </c>
      <c r="G58" s="233">
        <v>500</v>
      </c>
    </row>
    <row r="62" spans="1:8" x14ac:dyDescent="0.25">
      <c r="B62" s="198" t="s">
        <v>185</v>
      </c>
    </row>
    <row r="63" spans="1:8" ht="14.25" customHeight="1" x14ac:dyDescent="0.3">
      <c r="A63" s="510" t="s">
        <v>190</v>
      </c>
      <c r="B63" s="510"/>
      <c r="C63" s="510"/>
      <c r="D63" s="510"/>
      <c r="E63" s="274"/>
    </row>
    <row r="64" spans="1:8" ht="25.5" customHeight="1" x14ac:dyDescent="0.3">
      <c r="A64" s="276"/>
      <c r="B64" s="277"/>
      <c r="C64" s="513" t="s">
        <v>189</v>
      </c>
      <c r="D64" s="513"/>
      <c r="F64" s="198">
        <v>0.65</v>
      </c>
      <c r="H64" s="198" t="s">
        <v>191</v>
      </c>
    </row>
    <row r="65" spans="1:8" x14ac:dyDescent="0.25">
      <c r="A65" s="278"/>
      <c r="B65" s="279"/>
      <c r="C65" s="275" t="s">
        <v>186</v>
      </c>
      <c r="D65" s="275" t="s">
        <v>187</v>
      </c>
    </row>
    <row r="66" spans="1:8" x14ac:dyDescent="0.25">
      <c r="A66" s="512" t="s">
        <v>188</v>
      </c>
      <c r="B66" s="207" t="s">
        <v>186</v>
      </c>
      <c r="C66" s="218">
        <v>65</v>
      </c>
      <c r="D66" s="218">
        <v>54</v>
      </c>
      <c r="E66" s="273"/>
    </row>
    <row r="67" spans="1:8" x14ac:dyDescent="0.25">
      <c r="A67" s="512"/>
      <c r="B67" s="209" t="s">
        <v>187</v>
      </c>
      <c r="C67" s="220">
        <v>48</v>
      </c>
      <c r="D67" s="220">
        <v>33</v>
      </c>
      <c r="E67" s="273"/>
    </row>
    <row r="68" spans="1:8" x14ac:dyDescent="0.25">
      <c r="C68" s="273"/>
      <c r="D68" s="273"/>
      <c r="E68" s="273"/>
    </row>
    <row r="69" spans="1:8" x14ac:dyDescent="0.25">
      <c r="G69" s="198">
        <f>36/102</f>
        <v>0.35294117647058826</v>
      </c>
    </row>
    <row r="72" spans="1:8" x14ac:dyDescent="0.25">
      <c r="B72" s="198" t="s">
        <v>192</v>
      </c>
    </row>
    <row r="73" spans="1:8" x14ac:dyDescent="0.25">
      <c r="A73" s="280"/>
      <c r="B73" s="280"/>
      <c r="C73" s="280"/>
      <c r="D73" s="280"/>
      <c r="E73" s="280"/>
      <c r="F73" s="280"/>
      <c r="G73" s="280"/>
    </row>
    <row r="74" spans="1:8" ht="14.25" x14ac:dyDescent="0.25">
      <c r="A74" s="280"/>
      <c r="B74" s="514" t="s">
        <v>193</v>
      </c>
      <c r="C74" s="514"/>
      <c r="D74" s="514"/>
      <c r="E74" s="514"/>
      <c r="F74" s="514"/>
      <c r="G74" s="514"/>
      <c r="H74" s="514"/>
    </row>
    <row r="75" spans="1:8" ht="28.5" x14ac:dyDescent="0.3">
      <c r="A75" s="280"/>
      <c r="B75" s="199" t="s">
        <v>134</v>
      </c>
      <c r="C75" s="214" t="s">
        <v>151</v>
      </c>
      <c r="D75" s="214" t="s">
        <v>152</v>
      </c>
      <c r="E75" s="214" t="s">
        <v>153</v>
      </c>
      <c r="F75" s="214" t="s">
        <v>194</v>
      </c>
      <c r="G75" s="287" t="s">
        <v>3</v>
      </c>
      <c r="H75" s="287" t="s">
        <v>3</v>
      </c>
    </row>
    <row r="76" spans="1:8" ht="14.25" x14ac:dyDescent="0.25">
      <c r="A76" s="280"/>
      <c r="B76" s="291" t="s">
        <v>135</v>
      </c>
      <c r="C76" s="282">
        <v>1</v>
      </c>
      <c r="D76" s="282">
        <v>1</v>
      </c>
      <c r="E76" s="286">
        <v>0</v>
      </c>
      <c r="F76" s="282">
        <v>1</v>
      </c>
      <c r="G76" s="282">
        <f>SUM(C76:F76)</f>
        <v>3</v>
      </c>
      <c r="H76" s="265">
        <f>G76*G76</f>
        <v>9</v>
      </c>
    </row>
    <row r="77" spans="1:8" ht="14.25" x14ac:dyDescent="0.25">
      <c r="A77" s="280"/>
      <c r="B77" s="292" t="s">
        <v>136</v>
      </c>
      <c r="C77" s="283">
        <v>0</v>
      </c>
      <c r="D77" s="283">
        <v>1</v>
      </c>
      <c r="E77" s="281">
        <v>1</v>
      </c>
      <c r="F77" s="283">
        <v>0</v>
      </c>
      <c r="G77" s="283">
        <f t="shared" ref="G77:G84" si="12">SUM(C77:F77)</f>
        <v>2</v>
      </c>
      <c r="H77" s="285">
        <f t="shared" ref="H77:H84" si="13">G77*G77</f>
        <v>4</v>
      </c>
    </row>
    <row r="78" spans="1:8" ht="14.25" x14ac:dyDescent="0.25">
      <c r="A78" s="280"/>
      <c r="B78" s="292" t="s">
        <v>137</v>
      </c>
      <c r="C78" s="283">
        <v>1</v>
      </c>
      <c r="D78" s="283">
        <v>1</v>
      </c>
      <c r="E78" s="281">
        <v>1</v>
      </c>
      <c r="F78" s="283">
        <v>1</v>
      </c>
      <c r="G78" s="283">
        <f t="shared" si="12"/>
        <v>4</v>
      </c>
      <c r="H78" s="285">
        <f t="shared" si="13"/>
        <v>16</v>
      </c>
    </row>
    <row r="79" spans="1:8" ht="14.25" x14ac:dyDescent="0.25">
      <c r="A79" s="280"/>
      <c r="B79" s="292" t="s">
        <v>138</v>
      </c>
      <c r="C79" s="283">
        <v>1</v>
      </c>
      <c r="D79" s="283">
        <v>0</v>
      </c>
      <c r="E79" s="281">
        <v>0</v>
      </c>
      <c r="F79" s="283">
        <v>1</v>
      </c>
      <c r="G79" s="283">
        <f t="shared" si="12"/>
        <v>2</v>
      </c>
      <c r="H79" s="285">
        <f t="shared" si="13"/>
        <v>4</v>
      </c>
    </row>
    <row r="80" spans="1:8" ht="14.25" x14ac:dyDescent="0.25">
      <c r="A80" s="280"/>
      <c r="B80" s="292" t="s">
        <v>139</v>
      </c>
      <c r="C80" s="283">
        <v>0</v>
      </c>
      <c r="D80" s="283">
        <v>1</v>
      </c>
      <c r="E80" s="281">
        <v>0</v>
      </c>
      <c r="F80" s="283">
        <v>1</v>
      </c>
      <c r="G80" s="283">
        <f t="shared" si="12"/>
        <v>2</v>
      </c>
      <c r="H80" s="285">
        <f t="shared" si="13"/>
        <v>4</v>
      </c>
    </row>
    <row r="81" spans="1:8" ht="14.25" x14ac:dyDescent="0.25">
      <c r="A81" s="280"/>
      <c r="B81" s="292" t="s">
        <v>140</v>
      </c>
      <c r="C81" s="283">
        <v>0</v>
      </c>
      <c r="D81" s="283">
        <v>0</v>
      </c>
      <c r="E81" s="281">
        <v>1</v>
      </c>
      <c r="F81" s="283">
        <v>1</v>
      </c>
      <c r="G81" s="283">
        <f t="shared" si="12"/>
        <v>2</v>
      </c>
      <c r="H81" s="285">
        <f t="shared" si="13"/>
        <v>4</v>
      </c>
    </row>
    <row r="82" spans="1:8" ht="14.25" x14ac:dyDescent="0.25">
      <c r="A82" s="280"/>
      <c r="B82" s="292" t="s">
        <v>141</v>
      </c>
      <c r="C82" s="283">
        <v>0</v>
      </c>
      <c r="D82" s="283">
        <v>0</v>
      </c>
      <c r="E82" s="281">
        <v>0</v>
      </c>
      <c r="F82" s="283">
        <v>1</v>
      </c>
      <c r="G82" s="283">
        <f t="shared" si="12"/>
        <v>1</v>
      </c>
      <c r="H82" s="285">
        <f t="shared" si="13"/>
        <v>1</v>
      </c>
    </row>
    <row r="83" spans="1:8" ht="14.25" x14ac:dyDescent="0.25">
      <c r="A83" s="280"/>
      <c r="B83" s="292" t="s">
        <v>142</v>
      </c>
      <c r="C83" s="283">
        <v>1</v>
      </c>
      <c r="D83" s="283">
        <v>1</v>
      </c>
      <c r="E83" s="281">
        <v>1</v>
      </c>
      <c r="F83" s="283">
        <v>0</v>
      </c>
      <c r="G83" s="283">
        <f t="shared" si="12"/>
        <v>3</v>
      </c>
      <c r="H83" s="285">
        <f t="shared" si="13"/>
        <v>9</v>
      </c>
    </row>
    <row r="84" spans="1:8" ht="14.25" x14ac:dyDescent="0.25">
      <c r="A84" s="280"/>
      <c r="B84" s="293" t="s">
        <v>143</v>
      </c>
      <c r="C84" s="284">
        <v>1</v>
      </c>
      <c r="D84" s="284">
        <v>1</v>
      </c>
      <c r="E84" s="281">
        <v>0</v>
      </c>
      <c r="F84" s="284">
        <v>0</v>
      </c>
      <c r="G84" s="284">
        <f t="shared" si="12"/>
        <v>2</v>
      </c>
      <c r="H84" s="266">
        <f t="shared" si="13"/>
        <v>4</v>
      </c>
    </row>
    <row r="85" spans="1:8" ht="14.25" x14ac:dyDescent="0.25">
      <c r="A85" s="280"/>
      <c r="B85" s="289" t="s">
        <v>3</v>
      </c>
      <c r="C85" s="288">
        <f t="shared" ref="C85:H85" si="14">SUM(C76:C84)</f>
        <v>5</v>
      </c>
      <c r="D85" s="288">
        <f t="shared" si="14"/>
        <v>6</v>
      </c>
      <c r="E85" s="288">
        <f t="shared" si="14"/>
        <v>4</v>
      </c>
      <c r="F85" s="288">
        <f t="shared" si="14"/>
        <v>6</v>
      </c>
      <c r="G85" s="290">
        <f t="shared" si="14"/>
        <v>21</v>
      </c>
      <c r="H85" s="288">
        <f t="shared" si="14"/>
        <v>55</v>
      </c>
    </row>
    <row r="86" spans="1:8" x14ac:dyDescent="0.25">
      <c r="A86" s="280"/>
      <c r="B86" s="280"/>
      <c r="C86" s="280">
        <f>C85*C85</f>
        <v>25</v>
      </c>
      <c r="D86" s="280">
        <f>D85*D85</f>
        <v>36</v>
      </c>
      <c r="E86" s="280">
        <f>E85*E85</f>
        <v>16</v>
      </c>
      <c r="F86" s="280">
        <f>F85*F85</f>
        <v>36</v>
      </c>
      <c r="G86" s="280"/>
    </row>
    <row r="87" spans="1:8" x14ac:dyDescent="0.25">
      <c r="C87" s="511">
        <f>SUM(C86:F86)</f>
        <v>113</v>
      </c>
      <c r="D87" s="511"/>
      <c r="E87" s="511"/>
      <c r="F87" s="511"/>
    </row>
    <row r="90" spans="1:8" x14ac:dyDescent="0.25">
      <c r="C90" s="198">
        <f>3*(4*C87-SUM(C85:F85))/(4*G85-H85)</f>
        <v>44.586206896551722</v>
      </c>
    </row>
  </sheetData>
  <mergeCells count="21">
    <mergeCell ref="U26:Z26"/>
    <mergeCell ref="AB26:AG26"/>
    <mergeCell ref="U34:Z34"/>
    <mergeCell ref="AB34:AG34"/>
    <mergeCell ref="U40:Y40"/>
    <mergeCell ref="AB40:AF40"/>
    <mergeCell ref="B2:G2"/>
    <mergeCell ref="B26:G26"/>
    <mergeCell ref="I26:N26"/>
    <mergeCell ref="B34:G34"/>
    <mergeCell ref="B40:F40"/>
    <mergeCell ref="I34:N34"/>
    <mergeCell ref="I40:M40"/>
    <mergeCell ref="M2:R2"/>
    <mergeCell ref="M13:Q13"/>
    <mergeCell ref="B48:G48"/>
    <mergeCell ref="C87:F87"/>
    <mergeCell ref="A66:A67"/>
    <mergeCell ref="C64:D64"/>
    <mergeCell ref="A63:D63"/>
    <mergeCell ref="B74:H7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72"/>
  <sheetViews>
    <sheetView topLeftCell="A42" zoomScaleNormal="100" workbookViewId="0">
      <selection activeCell="S58" sqref="S53:S58"/>
    </sheetView>
  </sheetViews>
  <sheetFormatPr defaultRowHeight="12.75" x14ac:dyDescent="0.25"/>
  <cols>
    <col min="3" max="3" width="7.140625" bestFit="1" customWidth="1"/>
    <col min="4" max="4" width="6.140625" customWidth="1"/>
    <col min="6" max="6" width="3.42578125" customWidth="1"/>
    <col min="7" max="7" width="5.42578125" bestFit="1" customWidth="1"/>
    <col min="19" max="19" width="9.42578125" bestFit="1" customWidth="1"/>
  </cols>
  <sheetData>
    <row r="2" spans="2:16" ht="28.5" x14ac:dyDescent="0.25">
      <c r="B2" s="214" t="s">
        <v>134</v>
      </c>
      <c r="C2" s="246" t="s">
        <v>151</v>
      </c>
      <c r="D2" s="246" t="s">
        <v>152</v>
      </c>
      <c r="E2" s="250" t="s">
        <v>3</v>
      </c>
    </row>
    <row r="3" spans="2:16" ht="14.25" x14ac:dyDescent="0.3">
      <c r="B3" s="215" t="s">
        <v>135</v>
      </c>
      <c r="C3" s="218">
        <v>0</v>
      </c>
      <c r="D3" s="218">
        <v>6</v>
      </c>
      <c r="E3" s="248">
        <f>SUM(C3:D3)</f>
        <v>6</v>
      </c>
    </row>
    <row r="4" spans="2:16" ht="14.25" x14ac:dyDescent="0.3">
      <c r="B4" s="217" t="s">
        <v>136</v>
      </c>
      <c r="C4" s="220">
        <v>9</v>
      </c>
      <c r="D4" s="220">
        <v>3</v>
      </c>
      <c r="E4" s="249">
        <f>SUM(C4:D4)</f>
        <v>12</v>
      </c>
    </row>
    <row r="5" spans="2:16" ht="14.25" x14ac:dyDescent="0.3">
      <c r="B5" s="186" t="s">
        <v>3</v>
      </c>
      <c r="C5" s="131">
        <f>SUM(C3:C4)</f>
        <v>9</v>
      </c>
      <c r="D5" s="131">
        <f>SUM(D3:D4)</f>
        <v>9</v>
      </c>
      <c r="E5" s="131">
        <f>SUM(E3:E4)</f>
        <v>18</v>
      </c>
      <c r="G5" s="2">
        <f>(FACT(E3)*FACT(E4)*FACT(C5)*FACT(D5))/(FACT(C3)*FACT(D3)*FACT(C4)*FACT(D4)*FACT(E5))</f>
        <v>4.5248868778280538E-3</v>
      </c>
      <c r="K5" s="2">
        <f>G5</f>
        <v>4.5248868778280538E-3</v>
      </c>
    </row>
    <row r="6" spans="2:16" x14ac:dyDescent="0.25">
      <c r="K6" s="2">
        <f>G10</f>
        <v>6.1085972850678731E-2</v>
      </c>
    </row>
    <row r="7" spans="2:16" ht="28.5" x14ac:dyDescent="0.25">
      <c r="B7" s="214" t="s">
        <v>134</v>
      </c>
      <c r="C7" s="246" t="s">
        <v>151</v>
      </c>
      <c r="D7" s="246" t="s">
        <v>152</v>
      </c>
      <c r="E7" s="250" t="s">
        <v>3</v>
      </c>
      <c r="K7" s="2">
        <f>G15</f>
        <v>0.24434389140271492</v>
      </c>
    </row>
    <row r="8" spans="2:16" ht="14.25" x14ac:dyDescent="0.3">
      <c r="B8" s="215" t="s">
        <v>135</v>
      </c>
      <c r="C8" s="218">
        <v>1</v>
      </c>
      <c r="D8" s="218">
        <v>5</v>
      </c>
      <c r="E8" s="248">
        <f>SUM(C8:D8)</f>
        <v>6</v>
      </c>
      <c r="K8" s="2">
        <f>G20</f>
        <v>0.38009049773755654</v>
      </c>
    </row>
    <row r="9" spans="2:16" ht="14.25" x14ac:dyDescent="0.3">
      <c r="B9" s="217" t="s">
        <v>136</v>
      </c>
      <c r="C9" s="220">
        <v>8</v>
      </c>
      <c r="D9" s="220">
        <v>4</v>
      </c>
      <c r="E9" s="249">
        <f>SUM(C9:D9)</f>
        <v>12</v>
      </c>
      <c r="K9" s="2">
        <f>G25</f>
        <v>0.24434389140271492</v>
      </c>
    </row>
    <row r="10" spans="2:16" ht="14.25" x14ac:dyDescent="0.3">
      <c r="B10" s="186" t="s">
        <v>3</v>
      </c>
      <c r="C10" s="131">
        <f>SUM(C8:C9)</f>
        <v>9</v>
      </c>
      <c r="D10" s="131">
        <f>SUM(D8:D9)</f>
        <v>9</v>
      </c>
      <c r="E10" s="131">
        <f>SUM(E8:E9)</f>
        <v>18</v>
      </c>
      <c r="G10" s="2">
        <f>(FACT(E8)*FACT(E9)*FACT(C10)*FACT(D10))/(FACT(C8)*FACT(D8)*FACT(C9)*FACT(D9)*FACT(E10))</f>
        <v>6.1085972850678731E-2</v>
      </c>
      <c r="K10" s="2">
        <f>G30</f>
        <v>6.1085972850678731E-2</v>
      </c>
    </row>
    <row r="11" spans="2:16" x14ac:dyDescent="0.25">
      <c r="K11" s="2">
        <f>G35</f>
        <v>4.5248868778280538E-3</v>
      </c>
    </row>
    <row r="12" spans="2:16" ht="28.5" x14ac:dyDescent="0.25">
      <c r="B12" s="214" t="s">
        <v>134</v>
      </c>
      <c r="C12" s="246" t="s">
        <v>151</v>
      </c>
      <c r="D12" s="246" t="s">
        <v>152</v>
      </c>
      <c r="E12" s="250" t="s">
        <v>3</v>
      </c>
    </row>
    <row r="13" spans="2:16" ht="14.25" x14ac:dyDescent="0.3">
      <c r="B13" s="215" t="s">
        <v>135</v>
      </c>
      <c r="C13" s="218">
        <v>2</v>
      </c>
      <c r="D13" s="218">
        <v>4</v>
      </c>
      <c r="E13" s="248">
        <f>SUM(C13:D13)</f>
        <v>6</v>
      </c>
    </row>
    <row r="14" spans="2:16" ht="14.25" x14ac:dyDescent="0.3">
      <c r="B14" s="217" t="s">
        <v>136</v>
      </c>
      <c r="C14" s="220">
        <v>7</v>
      </c>
      <c r="D14" s="220">
        <v>5</v>
      </c>
      <c r="E14" s="249">
        <f>SUM(C14:D14)</f>
        <v>12</v>
      </c>
      <c r="P14" s="2"/>
    </row>
    <row r="15" spans="2:16" ht="14.25" x14ac:dyDescent="0.3">
      <c r="B15" s="186" t="s">
        <v>3</v>
      </c>
      <c r="C15" s="131">
        <f>SUM(C13:C14)</f>
        <v>9</v>
      </c>
      <c r="D15" s="131">
        <f>SUM(D13:D14)</f>
        <v>9</v>
      </c>
      <c r="E15" s="131">
        <f>SUM(E13:E14)</f>
        <v>18</v>
      </c>
      <c r="G15" s="2">
        <f>(FACT(E13)*FACT(E14)*FACT(C15)*FACT(D15))/(FACT(C13)*FACT(D13)*FACT(C14)*FACT(D14)*FACT(E15))</f>
        <v>0.24434389140271492</v>
      </c>
      <c r="N15" s="2"/>
      <c r="P15" s="2"/>
    </row>
    <row r="16" spans="2:16" x14ac:dyDescent="0.25">
      <c r="H16" s="74"/>
      <c r="I16" s="74"/>
      <c r="J16" s="74"/>
      <c r="K16" s="74"/>
      <c r="L16" s="74"/>
      <c r="M16" s="74"/>
      <c r="P16" s="31"/>
    </row>
    <row r="17" spans="2:16" ht="28.5" x14ac:dyDescent="0.25">
      <c r="B17" s="214" t="s">
        <v>134</v>
      </c>
      <c r="C17" s="246" t="s">
        <v>151</v>
      </c>
      <c r="D17" s="246" t="s">
        <v>152</v>
      </c>
      <c r="E17" s="250" t="s">
        <v>3</v>
      </c>
      <c r="H17" s="74"/>
      <c r="I17" s="252"/>
      <c r="J17" s="252"/>
      <c r="K17" s="252"/>
      <c r="L17" s="253"/>
      <c r="M17" s="74"/>
      <c r="P17" s="2"/>
    </row>
    <row r="18" spans="2:16" ht="14.25" x14ac:dyDescent="0.3">
      <c r="B18" s="215" t="s">
        <v>135</v>
      </c>
      <c r="C18" s="218">
        <v>3</v>
      </c>
      <c r="D18" s="218">
        <v>3</v>
      </c>
      <c r="E18" s="248">
        <f>SUM(C18:D18)</f>
        <v>6</v>
      </c>
      <c r="H18" s="74"/>
      <c r="I18" s="254"/>
      <c r="J18" s="247"/>
      <c r="K18" s="247"/>
      <c r="L18" s="183"/>
      <c r="M18" s="74"/>
      <c r="P18" s="2"/>
    </row>
    <row r="19" spans="2:16" ht="14.25" x14ac:dyDescent="0.3">
      <c r="B19" s="217" t="s">
        <v>136</v>
      </c>
      <c r="C19" s="220">
        <v>6</v>
      </c>
      <c r="D19" s="220">
        <v>6</v>
      </c>
      <c r="E19" s="249">
        <f>SUM(C19:D19)</f>
        <v>12</v>
      </c>
      <c r="H19" s="74"/>
      <c r="I19" s="254"/>
      <c r="J19" s="247"/>
      <c r="K19" s="247"/>
      <c r="L19" s="183"/>
      <c r="M19" s="74"/>
    </row>
    <row r="20" spans="2:16" ht="14.25" x14ac:dyDescent="0.3">
      <c r="B20" s="186" t="s">
        <v>3</v>
      </c>
      <c r="C20" s="131">
        <f>SUM(C18:C19)</f>
        <v>9</v>
      </c>
      <c r="D20" s="131">
        <f>SUM(D18:D19)</f>
        <v>9</v>
      </c>
      <c r="E20" s="131">
        <f>SUM(E18:E19)</f>
        <v>18</v>
      </c>
      <c r="G20" s="2">
        <f>(FACT(E18)*FACT(E19)*FACT(C20)*FACT(D20))/(FACT(C18)*FACT(D18)*FACT(C19)*FACT(D19)*FACT(E20))</f>
        <v>0.38009049773755654</v>
      </c>
      <c r="H20" s="74"/>
      <c r="I20" s="255"/>
      <c r="J20" s="183"/>
      <c r="K20" s="183"/>
      <c r="L20" s="183"/>
      <c r="M20" s="74"/>
      <c r="N20" s="2"/>
    </row>
    <row r="21" spans="2:16" x14ac:dyDescent="0.25">
      <c r="H21" s="74"/>
      <c r="I21" s="74"/>
      <c r="J21" s="74"/>
      <c r="K21" s="74"/>
      <c r="L21" s="74"/>
      <c r="M21" s="74"/>
    </row>
    <row r="22" spans="2:16" ht="28.5" x14ac:dyDescent="0.25">
      <c r="B22" s="214" t="s">
        <v>134</v>
      </c>
      <c r="C22" s="246" t="s">
        <v>151</v>
      </c>
      <c r="D22" s="246" t="s">
        <v>152</v>
      </c>
      <c r="E22" s="250" t="s">
        <v>3</v>
      </c>
    </row>
    <row r="23" spans="2:16" ht="14.25" x14ac:dyDescent="0.3">
      <c r="B23" s="215" t="s">
        <v>135</v>
      </c>
      <c r="C23" s="218">
        <v>4</v>
      </c>
      <c r="D23" s="218">
        <v>2</v>
      </c>
      <c r="E23" s="248">
        <f>SUM(C23:D23)</f>
        <v>6</v>
      </c>
    </row>
    <row r="24" spans="2:16" ht="14.25" x14ac:dyDescent="0.3">
      <c r="B24" s="217" t="s">
        <v>136</v>
      </c>
      <c r="C24" s="220">
        <v>5</v>
      </c>
      <c r="D24" s="220">
        <v>7</v>
      </c>
      <c r="E24" s="249">
        <f>SUM(C24:D24)</f>
        <v>12</v>
      </c>
    </row>
    <row r="25" spans="2:16" ht="14.25" x14ac:dyDescent="0.3">
      <c r="B25" s="186" t="s">
        <v>3</v>
      </c>
      <c r="C25" s="131">
        <f>SUM(C23:C24)</f>
        <v>9</v>
      </c>
      <c r="D25" s="131">
        <f>SUM(D23:D24)</f>
        <v>9</v>
      </c>
      <c r="E25" s="131">
        <f>SUM(E23:E24)</f>
        <v>18</v>
      </c>
      <c r="G25" s="2">
        <f>(FACT(E23)*FACT(E24)*FACT(C25)*FACT(D25))/(FACT(C23)*FACT(D23)*FACT(C24)*FACT(D24)*FACT(E25))</f>
        <v>0.24434389140271492</v>
      </c>
    </row>
    <row r="27" spans="2:16" ht="28.5" x14ac:dyDescent="0.25">
      <c r="B27" s="214" t="s">
        <v>134</v>
      </c>
      <c r="C27" s="246" t="s">
        <v>151</v>
      </c>
      <c r="D27" s="246" t="s">
        <v>152</v>
      </c>
      <c r="E27" s="250" t="s">
        <v>3</v>
      </c>
    </row>
    <row r="28" spans="2:16" ht="14.25" x14ac:dyDescent="0.3">
      <c r="B28" s="215" t="s">
        <v>135</v>
      </c>
      <c r="C28" s="218">
        <v>5</v>
      </c>
      <c r="D28" s="218">
        <v>1</v>
      </c>
      <c r="E28" s="248">
        <f>SUM(C28:D28)</f>
        <v>6</v>
      </c>
      <c r="I28" s="74"/>
      <c r="J28" s="74"/>
      <c r="K28" s="74"/>
      <c r="L28" s="74"/>
      <c r="M28" s="74"/>
    </row>
    <row r="29" spans="2:16" ht="14.25" x14ac:dyDescent="0.3">
      <c r="B29" s="217" t="s">
        <v>136</v>
      </c>
      <c r="C29" s="220">
        <v>4</v>
      </c>
      <c r="D29" s="220">
        <v>8</v>
      </c>
      <c r="E29" s="249">
        <f>SUM(C29:D29)</f>
        <v>12</v>
      </c>
      <c r="I29" s="252"/>
      <c r="J29" s="252"/>
      <c r="K29" s="252"/>
      <c r="L29" s="253"/>
      <c r="M29" s="74"/>
    </row>
    <row r="30" spans="2:16" ht="14.25" x14ac:dyDescent="0.3">
      <c r="B30" s="186" t="s">
        <v>3</v>
      </c>
      <c r="C30" s="131">
        <f>SUM(C28:C29)</f>
        <v>9</v>
      </c>
      <c r="D30" s="131">
        <f>SUM(D28:D29)</f>
        <v>9</v>
      </c>
      <c r="E30" s="131">
        <f>SUM(E28:E29)</f>
        <v>18</v>
      </c>
      <c r="G30" s="2">
        <f>(FACT(E28)*FACT(E29)*FACT(C30)*FACT(D30))/(FACT(C28)*FACT(D28)*FACT(C29)*FACT(D29)*FACT(E30))</f>
        <v>6.1085972850678731E-2</v>
      </c>
      <c r="I30" s="254"/>
      <c r="J30" s="247"/>
      <c r="K30" s="247"/>
      <c r="L30" s="183"/>
      <c r="M30" s="74"/>
    </row>
    <row r="31" spans="2:16" ht="14.25" x14ac:dyDescent="0.3">
      <c r="G31" s="2"/>
      <c r="I31" s="254"/>
      <c r="J31" s="247"/>
      <c r="K31" s="247"/>
      <c r="L31" s="183"/>
      <c r="M31" s="74"/>
    </row>
    <row r="32" spans="2:16" ht="28.5" x14ac:dyDescent="0.3">
      <c r="B32" s="214" t="s">
        <v>134</v>
      </c>
      <c r="C32" s="246" t="s">
        <v>151</v>
      </c>
      <c r="D32" s="246" t="s">
        <v>152</v>
      </c>
      <c r="E32" s="250" t="s">
        <v>3</v>
      </c>
      <c r="I32" s="255"/>
      <c r="J32" s="183"/>
      <c r="K32" s="183"/>
      <c r="L32" s="183"/>
      <c r="M32" s="74"/>
    </row>
    <row r="33" spans="1:17" ht="14.25" x14ac:dyDescent="0.3">
      <c r="B33" s="215" t="s">
        <v>135</v>
      </c>
      <c r="C33" s="218">
        <v>6</v>
      </c>
      <c r="D33" s="218">
        <v>0</v>
      </c>
      <c r="E33" s="248">
        <f>SUM(C33:D33)</f>
        <v>6</v>
      </c>
      <c r="I33" s="74"/>
      <c r="J33" s="74"/>
      <c r="K33" s="74"/>
      <c r="L33" s="74"/>
      <c r="M33" s="74"/>
    </row>
    <row r="34" spans="1:17" ht="14.25" x14ac:dyDescent="0.3">
      <c r="B34" s="217" t="s">
        <v>136</v>
      </c>
      <c r="C34" s="220">
        <v>3</v>
      </c>
      <c r="D34" s="220">
        <v>9</v>
      </c>
      <c r="E34" s="249">
        <f>SUM(C34:D34)</f>
        <v>12</v>
      </c>
      <c r="I34" s="74"/>
      <c r="J34" s="74"/>
      <c r="K34" s="74"/>
      <c r="L34" s="74"/>
      <c r="M34" s="74"/>
    </row>
    <row r="35" spans="1:17" ht="14.25" x14ac:dyDescent="0.3">
      <c r="B35" s="186" t="s">
        <v>3</v>
      </c>
      <c r="C35" s="131">
        <f>SUM(C33:C34)</f>
        <v>9</v>
      </c>
      <c r="D35" s="131">
        <f>SUM(D33:D34)</f>
        <v>9</v>
      </c>
      <c r="E35" s="131">
        <f>SUM(E33:E34)</f>
        <v>18</v>
      </c>
      <c r="G35" s="2">
        <f>(FACT(E33)*FACT(E34)*FACT(C35)*FACT(D35))/(FACT(C33)*FACT(D33)*FACT(C34)*FACT(D34)*FACT(E35))</f>
        <v>4.5248868778280538E-3</v>
      </c>
    </row>
    <row r="39" spans="1:17" x14ac:dyDescent="0.25">
      <c r="A39" s="74"/>
      <c r="B39" s="74"/>
      <c r="C39" s="74"/>
      <c r="D39" s="74"/>
      <c r="E39" s="74"/>
      <c r="F39" s="74"/>
      <c r="G39" s="74"/>
      <c r="H39" s="74"/>
      <c r="I39" s="74"/>
    </row>
    <row r="40" spans="1:17" x14ac:dyDescent="0.25">
      <c r="A40" s="74"/>
      <c r="B40" s="74"/>
      <c r="C40" s="74"/>
      <c r="D40" s="74"/>
      <c r="E40" s="74"/>
      <c r="F40" s="74"/>
      <c r="G40" s="74"/>
      <c r="H40" s="74"/>
      <c r="I40" s="74"/>
    </row>
    <row r="41" spans="1:17" ht="14.25" x14ac:dyDescent="0.25">
      <c r="A41" s="74"/>
      <c r="B41" s="252"/>
      <c r="C41" s="252"/>
      <c r="D41" s="252"/>
      <c r="E41" s="253"/>
      <c r="F41" s="74"/>
      <c r="G41" s="74"/>
      <c r="H41" s="74"/>
      <c r="I41" s="74"/>
    </row>
    <row r="42" spans="1:17" ht="14.25" x14ac:dyDescent="0.3">
      <c r="A42" s="74"/>
      <c r="B42" s="475"/>
      <c r="C42" s="247"/>
      <c r="D42" s="247"/>
      <c r="E42" s="183"/>
      <c r="F42" s="74"/>
      <c r="G42" s="74"/>
      <c r="H42" s="74"/>
      <c r="I42" s="74"/>
    </row>
    <row r="43" spans="1:17" ht="14.25" x14ac:dyDescent="0.3">
      <c r="A43" s="74"/>
      <c r="B43" s="475"/>
      <c r="C43" s="247"/>
      <c r="D43" s="247"/>
      <c r="E43" s="183"/>
      <c r="F43" s="74"/>
      <c r="G43" s="74"/>
      <c r="H43" s="74"/>
      <c r="I43" s="74"/>
    </row>
    <row r="44" spans="1:17" ht="14.25" x14ac:dyDescent="0.3">
      <c r="A44" s="74"/>
      <c r="B44" s="476"/>
      <c r="C44" s="183"/>
      <c r="D44" s="183"/>
      <c r="E44" s="183"/>
      <c r="F44" s="74"/>
      <c r="G44" s="548"/>
      <c r="H44" s="74"/>
      <c r="I44" s="74"/>
      <c r="N44" s="492" t="s">
        <v>161</v>
      </c>
      <c r="O44" s="493"/>
      <c r="P44" s="493"/>
      <c r="Q44" s="494"/>
    </row>
    <row r="45" spans="1:17" ht="28.5" x14ac:dyDescent="0.25">
      <c r="A45" s="74"/>
      <c r="B45" s="74"/>
      <c r="C45" s="74"/>
      <c r="D45" s="74"/>
      <c r="E45" s="74"/>
      <c r="F45" s="74"/>
      <c r="G45" s="74"/>
      <c r="H45" s="74"/>
      <c r="I45" s="74"/>
      <c r="N45" s="214" t="s">
        <v>134</v>
      </c>
      <c r="O45" s="246" t="s">
        <v>151</v>
      </c>
      <c r="P45" s="246" t="s">
        <v>152</v>
      </c>
      <c r="Q45" s="250" t="s">
        <v>3</v>
      </c>
    </row>
    <row r="46" spans="1:17" ht="14.25" x14ac:dyDescent="0.3">
      <c r="A46" s="74"/>
      <c r="B46" s="74"/>
      <c r="C46" s="74"/>
      <c r="D46" s="74"/>
      <c r="E46" s="74"/>
      <c r="F46" s="74"/>
      <c r="G46" s="74"/>
      <c r="H46" s="74"/>
      <c r="I46" s="74"/>
      <c r="N46" s="215" t="s">
        <v>135</v>
      </c>
      <c r="O46" s="265">
        <v>4</v>
      </c>
      <c r="P46" s="265">
        <v>2</v>
      </c>
      <c r="Q46" s="268">
        <f>SUM(O46:P46)</f>
        <v>6</v>
      </c>
    </row>
    <row r="47" spans="1:17" ht="14.25" x14ac:dyDescent="0.3">
      <c r="A47" s="74"/>
      <c r="B47" s="74"/>
      <c r="C47" s="74"/>
      <c r="D47" s="74"/>
      <c r="E47" s="74"/>
      <c r="F47" s="74"/>
      <c r="G47" s="74"/>
      <c r="H47" s="74"/>
      <c r="I47" s="74"/>
      <c r="N47" s="217" t="s">
        <v>136</v>
      </c>
      <c r="O47" s="266">
        <v>5</v>
      </c>
      <c r="P47" s="266">
        <v>7</v>
      </c>
      <c r="Q47" s="269">
        <f>SUM(O47:P47)</f>
        <v>12</v>
      </c>
    </row>
    <row r="48" spans="1:17" ht="14.25" x14ac:dyDescent="0.3">
      <c r="F48" s="74"/>
      <c r="G48" s="74"/>
      <c r="N48" s="186" t="s">
        <v>3</v>
      </c>
      <c r="O48" s="267">
        <f>SUM(O46:O47)</f>
        <v>9</v>
      </c>
      <c r="P48" s="267">
        <f>SUM(P46:P47)</f>
        <v>9</v>
      </c>
      <c r="Q48" s="267">
        <f>SUM(Q46:Q47)</f>
        <v>18</v>
      </c>
    </row>
    <row r="49" spans="6:19" x14ac:dyDescent="0.25">
      <c r="F49" s="74"/>
      <c r="G49" s="74"/>
    </row>
    <row r="50" spans="6:19" ht="14.25" x14ac:dyDescent="0.3">
      <c r="F50" s="74"/>
      <c r="G50" s="74"/>
      <c r="O50" s="522" t="s">
        <v>174</v>
      </c>
      <c r="P50" s="522"/>
    </row>
    <row r="51" spans="6:19" x14ac:dyDescent="0.25">
      <c r="F51" s="74"/>
      <c r="G51" s="74"/>
      <c r="N51" s="520" t="s">
        <v>175</v>
      </c>
      <c r="O51" s="259">
        <v>0</v>
      </c>
      <c r="P51" s="260">
        <v>6</v>
      </c>
      <c r="Q51" s="521">
        <v>5.0000000000000001E-3</v>
      </c>
    </row>
    <row r="52" spans="6:19" ht="14.25" x14ac:dyDescent="0.3">
      <c r="F52" s="74"/>
      <c r="G52" s="74"/>
      <c r="I52" s="492" t="s">
        <v>161</v>
      </c>
      <c r="J52" s="493"/>
      <c r="K52" s="493"/>
      <c r="L52" s="494"/>
      <c r="N52" s="520"/>
      <c r="O52" s="261">
        <v>9</v>
      </c>
      <c r="P52" s="262">
        <v>3</v>
      </c>
      <c r="Q52" s="521"/>
    </row>
    <row r="53" spans="6:19" ht="14.25" x14ac:dyDescent="0.25">
      <c r="F53" s="74"/>
      <c r="G53" s="74"/>
      <c r="I53" s="214" t="s">
        <v>162</v>
      </c>
      <c r="J53" s="246" t="s">
        <v>163</v>
      </c>
      <c r="K53" s="246" t="s">
        <v>163</v>
      </c>
      <c r="L53" s="250"/>
      <c r="N53" s="140"/>
      <c r="O53" s="263"/>
      <c r="P53" s="263"/>
      <c r="Q53" s="256"/>
    </row>
    <row r="54" spans="6:19" ht="14.25" x14ac:dyDescent="0.3">
      <c r="F54" s="74"/>
      <c r="G54" s="74"/>
      <c r="I54" s="246" t="s">
        <v>164</v>
      </c>
      <c r="J54" s="265" t="s">
        <v>166</v>
      </c>
      <c r="K54" s="265" t="s">
        <v>168</v>
      </c>
      <c r="L54" s="268" t="s">
        <v>172</v>
      </c>
      <c r="N54" s="520" t="s">
        <v>176</v>
      </c>
      <c r="O54" s="259">
        <v>1</v>
      </c>
      <c r="P54" s="260">
        <v>5</v>
      </c>
      <c r="Q54" s="521">
        <v>6.0999999999999999E-2</v>
      </c>
      <c r="S54" s="251"/>
    </row>
    <row r="55" spans="6:19" ht="14.25" x14ac:dyDescent="0.3">
      <c r="F55" s="264"/>
      <c r="G55" s="264"/>
      <c r="H55" s="258"/>
      <c r="I55" s="246" t="s">
        <v>165</v>
      </c>
      <c r="J55" s="266" t="s">
        <v>169</v>
      </c>
      <c r="K55" s="266" t="s">
        <v>167</v>
      </c>
      <c r="L55" s="269" t="s">
        <v>173</v>
      </c>
      <c r="N55" s="520"/>
      <c r="O55" s="261">
        <v>8</v>
      </c>
      <c r="P55" s="262">
        <v>4</v>
      </c>
      <c r="Q55" s="521"/>
      <c r="S55" s="251"/>
    </row>
    <row r="56" spans="6:19" ht="14.25" x14ac:dyDescent="0.3">
      <c r="F56" s="264"/>
      <c r="G56" s="264"/>
      <c r="H56" s="257"/>
      <c r="I56" s="270"/>
      <c r="J56" s="267" t="s">
        <v>170</v>
      </c>
      <c r="K56" s="267" t="s">
        <v>171</v>
      </c>
      <c r="L56" s="267" t="s">
        <v>3</v>
      </c>
      <c r="N56" s="140"/>
      <c r="O56" s="263"/>
      <c r="P56" s="263"/>
      <c r="Q56" s="256"/>
      <c r="S56" s="251"/>
    </row>
    <row r="57" spans="6:19" x14ac:dyDescent="0.25">
      <c r="F57" s="264"/>
      <c r="G57" s="264"/>
      <c r="H57" s="257"/>
      <c r="N57" s="520" t="s">
        <v>177</v>
      </c>
      <c r="O57" s="259">
        <v>2</v>
      </c>
      <c r="P57" s="260">
        <v>4</v>
      </c>
      <c r="Q57" s="521">
        <v>0.24399999999999999</v>
      </c>
      <c r="S57" s="251"/>
    </row>
    <row r="58" spans="6:19" x14ac:dyDescent="0.25">
      <c r="F58" s="74"/>
      <c r="G58" s="74"/>
      <c r="N58" s="520"/>
      <c r="O58" s="261">
        <v>7</v>
      </c>
      <c r="P58" s="262">
        <v>5</v>
      </c>
      <c r="Q58" s="521"/>
    </row>
    <row r="59" spans="6:19" x14ac:dyDescent="0.25">
      <c r="F59" s="74"/>
      <c r="G59" s="74"/>
      <c r="N59" s="140"/>
      <c r="O59" s="263"/>
      <c r="P59" s="263"/>
      <c r="Q59" s="256"/>
    </row>
    <row r="60" spans="6:19" x14ac:dyDescent="0.25">
      <c r="F60" s="74"/>
      <c r="G60" s="74"/>
      <c r="N60" s="520" t="s">
        <v>178</v>
      </c>
      <c r="O60" s="259">
        <v>3</v>
      </c>
      <c r="P60" s="260">
        <v>3</v>
      </c>
      <c r="Q60" s="521">
        <v>0.38</v>
      </c>
    </row>
    <row r="61" spans="6:19" x14ac:dyDescent="0.25">
      <c r="F61" s="74"/>
      <c r="G61" s="74"/>
      <c r="N61" s="520"/>
      <c r="O61" s="261">
        <v>6</v>
      </c>
      <c r="P61" s="262">
        <v>6</v>
      </c>
      <c r="Q61" s="521"/>
    </row>
    <row r="62" spans="6:19" x14ac:dyDescent="0.25">
      <c r="F62" s="74"/>
      <c r="G62" s="74"/>
      <c r="N62" s="140"/>
      <c r="Q62" s="2"/>
    </row>
    <row r="63" spans="6:19" x14ac:dyDescent="0.25">
      <c r="F63" s="74"/>
      <c r="G63" s="74"/>
      <c r="N63" s="520" t="s">
        <v>179</v>
      </c>
      <c r="O63" s="259">
        <v>4</v>
      </c>
      <c r="P63" s="260">
        <v>2</v>
      </c>
      <c r="Q63" s="521">
        <v>0.24399999999999999</v>
      </c>
    </row>
    <row r="64" spans="6:19" x14ac:dyDescent="0.25">
      <c r="F64" s="74"/>
      <c r="G64" s="74"/>
      <c r="N64" s="520"/>
      <c r="O64" s="261">
        <v>5</v>
      </c>
      <c r="P64" s="262">
        <v>7</v>
      </c>
      <c r="Q64" s="521"/>
    </row>
    <row r="65" spans="6:17" x14ac:dyDescent="0.25">
      <c r="F65" s="74"/>
      <c r="G65" s="74"/>
      <c r="N65" s="140"/>
      <c r="O65" s="263"/>
      <c r="P65" s="263"/>
      <c r="Q65" s="256"/>
    </row>
    <row r="66" spans="6:17" x14ac:dyDescent="0.25">
      <c r="N66" s="520" t="s">
        <v>180</v>
      </c>
      <c r="O66" s="259">
        <v>5</v>
      </c>
      <c r="P66" s="260">
        <v>1</v>
      </c>
      <c r="Q66" s="521">
        <v>6.0999999999999999E-2</v>
      </c>
    </row>
    <row r="67" spans="6:17" x14ac:dyDescent="0.25">
      <c r="N67" s="520"/>
      <c r="O67" s="261">
        <v>4</v>
      </c>
      <c r="P67" s="262">
        <v>8</v>
      </c>
      <c r="Q67" s="521"/>
    </row>
    <row r="68" spans="6:17" x14ac:dyDescent="0.25">
      <c r="N68" s="140"/>
      <c r="O68" s="263"/>
      <c r="P68" s="263"/>
      <c r="Q68" s="256"/>
    </row>
    <row r="69" spans="6:17" x14ac:dyDescent="0.25">
      <c r="N69" s="520" t="s">
        <v>181</v>
      </c>
      <c r="O69" s="259">
        <v>6</v>
      </c>
      <c r="P69" s="260">
        <v>0</v>
      </c>
      <c r="Q69" s="521">
        <v>5.0000000000000001E-3</v>
      </c>
    </row>
    <row r="70" spans="6:17" x14ac:dyDescent="0.25">
      <c r="N70" s="520"/>
      <c r="O70" s="261">
        <v>3</v>
      </c>
      <c r="P70" s="262">
        <v>9</v>
      </c>
      <c r="Q70" s="521"/>
    </row>
    <row r="72" spans="6:17" x14ac:dyDescent="0.25">
      <c r="Q72" s="2">
        <f>SUM(Q63:Q70)</f>
        <v>0.31</v>
      </c>
    </row>
  </sheetData>
  <mergeCells count="17">
    <mergeCell ref="I52:L52"/>
    <mergeCell ref="O50:P50"/>
    <mergeCell ref="N51:N52"/>
    <mergeCell ref="N54:N55"/>
    <mergeCell ref="N57:N58"/>
    <mergeCell ref="N44:Q44"/>
    <mergeCell ref="Q51:Q52"/>
    <mergeCell ref="Q54:Q55"/>
    <mergeCell ref="Q57:Q58"/>
    <mergeCell ref="Q60:Q61"/>
    <mergeCell ref="N60:N61"/>
    <mergeCell ref="N69:N70"/>
    <mergeCell ref="Q66:Q67"/>
    <mergeCell ref="Q69:Q70"/>
    <mergeCell ref="N63:N64"/>
    <mergeCell ref="N66:N67"/>
    <mergeCell ref="Q63:Q64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X92"/>
  <sheetViews>
    <sheetView topLeftCell="A44" zoomScale="115" zoomScaleNormal="115" workbookViewId="0">
      <selection activeCell="M60" sqref="M60"/>
    </sheetView>
  </sheetViews>
  <sheetFormatPr defaultRowHeight="12.75" x14ac:dyDescent="0.25"/>
  <cols>
    <col min="4" max="4" width="9.140625" customWidth="1"/>
    <col min="10" max="10" width="9.5703125" customWidth="1"/>
    <col min="18" max="18" width="2.42578125" customWidth="1"/>
  </cols>
  <sheetData>
    <row r="2" spans="4:24" x14ac:dyDescent="0.25">
      <c r="M2" s="74"/>
      <c r="N2" s="74"/>
      <c r="O2" s="74"/>
      <c r="P2" s="74"/>
      <c r="Q2" s="74"/>
      <c r="R2" s="74"/>
      <c r="S2" s="74"/>
    </row>
    <row r="3" spans="4:24" x14ac:dyDescent="0.25">
      <c r="M3" s="74"/>
      <c r="N3" s="74"/>
      <c r="O3" s="74"/>
      <c r="P3" s="74"/>
      <c r="Q3" s="74"/>
      <c r="R3" s="74"/>
      <c r="S3" s="74"/>
    </row>
    <row r="4" spans="4:24" ht="14.25" x14ac:dyDescent="0.3">
      <c r="D4" s="510" t="s">
        <v>156</v>
      </c>
      <c r="E4" s="510"/>
      <c r="F4" s="510"/>
      <c r="G4" s="510"/>
      <c r="H4" s="510"/>
      <c r="I4" s="510"/>
      <c r="J4" s="510"/>
      <c r="L4" s="510" t="s">
        <v>201</v>
      </c>
      <c r="M4" s="510"/>
      <c r="N4" s="510"/>
      <c r="O4" s="510"/>
      <c r="P4" s="510"/>
      <c r="Q4" s="510"/>
      <c r="R4" s="74"/>
      <c r="S4" s="510" t="s">
        <v>202</v>
      </c>
      <c r="T4" s="510"/>
      <c r="U4" s="510"/>
      <c r="V4" s="510"/>
      <c r="W4" s="510"/>
      <c r="X4" s="510"/>
    </row>
    <row r="5" spans="4:24" ht="28.5" x14ac:dyDescent="0.3">
      <c r="D5" s="214" t="s">
        <v>134</v>
      </c>
      <c r="E5" s="214" t="s">
        <v>182</v>
      </c>
      <c r="F5" s="214" t="s">
        <v>151</v>
      </c>
      <c r="G5" s="214" t="s">
        <v>152</v>
      </c>
      <c r="H5" s="214" t="s">
        <v>153</v>
      </c>
      <c r="I5" s="214" t="s">
        <v>154</v>
      </c>
      <c r="J5" s="272" t="s">
        <v>3</v>
      </c>
      <c r="L5" s="246" t="s">
        <v>134</v>
      </c>
      <c r="M5" s="246" t="s">
        <v>151</v>
      </c>
      <c r="N5" s="246" t="s">
        <v>152</v>
      </c>
      <c r="O5" s="246" t="s">
        <v>153</v>
      </c>
      <c r="P5" s="246" t="s">
        <v>154</v>
      </c>
      <c r="Q5" s="272" t="s">
        <v>3</v>
      </c>
      <c r="R5" s="74"/>
      <c r="S5" s="246" t="s">
        <v>134</v>
      </c>
      <c r="T5" s="246" t="s">
        <v>151</v>
      </c>
      <c r="U5" s="246" t="s">
        <v>152</v>
      </c>
      <c r="V5" s="246" t="s">
        <v>153</v>
      </c>
      <c r="W5" s="246" t="s">
        <v>154</v>
      </c>
      <c r="X5" s="272" t="s">
        <v>3</v>
      </c>
    </row>
    <row r="6" spans="4:24" ht="14.25" x14ac:dyDescent="0.3">
      <c r="D6" s="215" t="s">
        <v>135</v>
      </c>
      <c r="E6" s="215" t="s">
        <v>183</v>
      </c>
      <c r="F6" s="218">
        <v>16</v>
      </c>
      <c r="G6" s="218">
        <v>10</v>
      </c>
      <c r="H6" s="218">
        <v>15</v>
      </c>
      <c r="I6" s="218">
        <v>18</v>
      </c>
      <c r="J6" s="234">
        <f>SUM(F6:I6)</f>
        <v>59</v>
      </c>
      <c r="L6" s="215" t="s">
        <v>135</v>
      </c>
      <c r="M6" s="218">
        <f>F6</f>
        <v>16</v>
      </c>
      <c r="N6" s="218">
        <f>G6</f>
        <v>10</v>
      </c>
      <c r="O6" s="218">
        <f>H6</f>
        <v>15</v>
      </c>
      <c r="P6" s="218">
        <f>I6</f>
        <v>18</v>
      </c>
      <c r="Q6" s="234">
        <f>SUM(M6:P6)</f>
        <v>59</v>
      </c>
      <c r="R6" s="74"/>
      <c r="S6" s="215" t="s">
        <v>135</v>
      </c>
      <c r="T6" s="218">
        <f>F7</f>
        <v>17</v>
      </c>
      <c r="U6" s="218">
        <v>18</v>
      </c>
      <c r="V6" s="218">
        <v>10</v>
      </c>
      <c r="W6" s="218">
        <v>16</v>
      </c>
      <c r="X6" s="234">
        <f>SUM(T6:W6)</f>
        <v>61</v>
      </c>
    </row>
    <row r="7" spans="4:24" ht="14.25" x14ac:dyDescent="0.3">
      <c r="D7" s="216"/>
      <c r="E7" s="306" t="s">
        <v>184</v>
      </c>
      <c r="F7" s="303">
        <v>17</v>
      </c>
      <c r="G7" s="303">
        <v>18</v>
      </c>
      <c r="H7" s="303">
        <v>10</v>
      </c>
      <c r="I7" s="304">
        <v>16</v>
      </c>
      <c r="J7" s="305">
        <f t="shared" ref="J7:J13" si="0">SUM(F7:I7)</f>
        <v>61</v>
      </c>
      <c r="L7" s="216" t="s">
        <v>136</v>
      </c>
      <c r="M7" s="219">
        <f>F8</f>
        <v>9</v>
      </c>
      <c r="N7" s="219">
        <f>G8</f>
        <v>7</v>
      </c>
      <c r="O7" s="219">
        <f>H8</f>
        <v>5</v>
      </c>
      <c r="P7" s="219">
        <f>I8</f>
        <v>27</v>
      </c>
      <c r="Q7" s="235">
        <f>SUM(M7:P7)</f>
        <v>48</v>
      </c>
      <c r="R7" s="74"/>
      <c r="S7" s="216" t="s">
        <v>136</v>
      </c>
      <c r="T7" s="219">
        <f>F9</f>
        <v>5</v>
      </c>
      <c r="U7" s="219">
        <v>6</v>
      </c>
      <c r="V7" s="219">
        <v>8</v>
      </c>
      <c r="W7" s="219">
        <v>23</v>
      </c>
      <c r="X7" s="235">
        <f>SUM(T7:W7)</f>
        <v>42</v>
      </c>
    </row>
    <row r="8" spans="4:24" ht="14.25" x14ac:dyDescent="0.3">
      <c r="D8" s="215" t="s">
        <v>136</v>
      </c>
      <c r="E8" s="215" t="s">
        <v>183</v>
      </c>
      <c r="F8" s="218">
        <v>9</v>
      </c>
      <c r="G8" s="218">
        <v>7</v>
      </c>
      <c r="H8" s="218">
        <v>5</v>
      </c>
      <c r="I8" s="271">
        <v>27</v>
      </c>
      <c r="J8" s="234">
        <f t="shared" si="0"/>
        <v>48</v>
      </c>
      <c r="L8" s="216" t="s">
        <v>137</v>
      </c>
      <c r="M8" s="219">
        <f>F10</f>
        <v>12</v>
      </c>
      <c r="N8" s="219">
        <f>G10</f>
        <v>16</v>
      </c>
      <c r="O8" s="219">
        <f>H10</f>
        <v>12</v>
      </c>
      <c r="P8" s="219">
        <f>I10</f>
        <v>16</v>
      </c>
      <c r="Q8" s="235">
        <f>SUM(M8:P8)</f>
        <v>56</v>
      </c>
      <c r="R8" s="74"/>
      <c r="S8" s="216" t="s">
        <v>137</v>
      </c>
      <c r="T8" s="219">
        <f>F11</f>
        <v>8</v>
      </c>
      <c r="U8" s="219">
        <v>8</v>
      </c>
      <c r="V8" s="219">
        <v>10</v>
      </c>
      <c r="W8" s="219">
        <v>23</v>
      </c>
      <c r="X8" s="235">
        <f>SUM(T8:W8)</f>
        <v>49</v>
      </c>
    </row>
    <row r="9" spans="4:24" ht="14.25" x14ac:dyDescent="0.3">
      <c r="D9" s="217"/>
      <c r="E9" s="306" t="s">
        <v>184</v>
      </c>
      <c r="F9" s="304">
        <v>5</v>
      </c>
      <c r="G9" s="304">
        <v>6</v>
      </c>
      <c r="H9" s="304">
        <v>8</v>
      </c>
      <c r="I9" s="307">
        <v>23</v>
      </c>
      <c r="J9" s="305">
        <f t="shared" si="0"/>
        <v>42</v>
      </c>
      <c r="L9" s="217" t="s">
        <v>143</v>
      </c>
      <c r="M9" s="220">
        <f>F12</f>
        <v>20</v>
      </c>
      <c r="N9" s="220">
        <f>G12</f>
        <v>20</v>
      </c>
      <c r="O9" s="220">
        <f>H12</f>
        <v>20</v>
      </c>
      <c r="P9" s="220">
        <f>I12</f>
        <v>30</v>
      </c>
      <c r="Q9" s="236">
        <f>SUM(M9:P9)</f>
        <v>90</v>
      </c>
      <c r="R9" s="74"/>
      <c r="S9" s="217" t="s">
        <v>143</v>
      </c>
      <c r="T9" s="219">
        <f>F13</f>
        <v>16</v>
      </c>
      <c r="U9" s="219">
        <v>17</v>
      </c>
      <c r="V9" s="219">
        <v>21</v>
      </c>
      <c r="W9" s="219">
        <v>46</v>
      </c>
      <c r="X9" s="235">
        <f>SUM(T9:W9)</f>
        <v>100</v>
      </c>
    </row>
    <row r="10" spans="4:24" ht="14.25" x14ac:dyDescent="0.3">
      <c r="D10" s="216" t="s">
        <v>137</v>
      </c>
      <c r="E10" s="215" t="s">
        <v>183</v>
      </c>
      <c r="F10" s="219">
        <v>12</v>
      </c>
      <c r="G10" s="219">
        <v>16</v>
      </c>
      <c r="H10" s="219">
        <v>12</v>
      </c>
      <c r="I10" s="218">
        <v>16</v>
      </c>
      <c r="J10" s="234">
        <f t="shared" si="0"/>
        <v>56</v>
      </c>
      <c r="L10" s="210" t="s">
        <v>3</v>
      </c>
      <c r="M10" s="233">
        <f>SUM(M6:M9)</f>
        <v>57</v>
      </c>
      <c r="N10" s="233">
        <f>SUM(N6:N9)</f>
        <v>53</v>
      </c>
      <c r="O10" s="233">
        <f>SUM(O6:O9)</f>
        <v>52</v>
      </c>
      <c r="P10" s="233">
        <f>SUM(P6:P9)</f>
        <v>91</v>
      </c>
      <c r="Q10" s="233">
        <f>SUM(Q6:Q9)</f>
        <v>253</v>
      </c>
      <c r="R10" s="74"/>
      <c r="S10" s="210" t="s">
        <v>3</v>
      </c>
      <c r="T10" s="233">
        <f>SUM(T6:T9)</f>
        <v>46</v>
      </c>
      <c r="U10" s="233">
        <f>SUM(U6:U9)</f>
        <v>49</v>
      </c>
      <c r="V10" s="233">
        <f>SUM(V6:V9)</f>
        <v>49</v>
      </c>
      <c r="W10" s="233">
        <f>SUM(W6:W9)</f>
        <v>108</v>
      </c>
      <c r="X10" s="233">
        <f>SUM(X6:X9)</f>
        <v>252</v>
      </c>
    </row>
    <row r="11" spans="4:24" ht="14.25" x14ac:dyDescent="0.3">
      <c r="D11" s="216"/>
      <c r="E11" s="306" t="s">
        <v>184</v>
      </c>
      <c r="F11" s="303">
        <v>8</v>
      </c>
      <c r="G11" s="303">
        <v>8</v>
      </c>
      <c r="H11" s="303">
        <v>10</v>
      </c>
      <c r="I11" s="304">
        <v>23</v>
      </c>
      <c r="J11" s="305">
        <f t="shared" si="0"/>
        <v>49</v>
      </c>
      <c r="M11" s="74"/>
      <c r="N11" s="74"/>
      <c r="O11" s="74"/>
      <c r="P11" s="74"/>
      <c r="Q11" s="74"/>
      <c r="R11" s="74"/>
      <c r="S11" s="74"/>
    </row>
    <row r="12" spans="4:24" ht="14.25" x14ac:dyDescent="0.3">
      <c r="D12" s="215" t="s">
        <v>143</v>
      </c>
      <c r="E12" s="215" t="s">
        <v>183</v>
      </c>
      <c r="F12" s="218">
        <v>20</v>
      </c>
      <c r="G12" s="218">
        <v>20</v>
      </c>
      <c r="H12" s="218">
        <v>20</v>
      </c>
      <c r="I12" s="247">
        <v>30</v>
      </c>
      <c r="J12" s="234">
        <f t="shared" si="0"/>
        <v>90</v>
      </c>
      <c r="M12" s="74"/>
      <c r="N12" s="74"/>
      <c r="O12" s="74"/>
      <c r="P12" s="74"/>
      <c r="Q12" s="74"/>
      <c r="R12" s="74"/>
      <c r="S12" s="74"/>
    </row>
    <row r="13" spans="4:24" ht="14.25" x14ac:dyDescent="0.3">
      <c r="D13" s="217"/>
      <c r="E13" s="306" t="s">
        <v>184</v>
      </c>
      <c r="F13" s="304">
        <v>16</v>
      </c>
      <c r="G13" s="304">
        <v>17</v>
      </c>
      <c r="H13" s="304">
        <v>21</v>
      </c>
      <c r="I13" s="308">
        <v>46</v>
      </c>
      <c r="J13" s="309">
        <f t="shared" si="0"/>
        <v>100</v>
      </c>
      <c r="L13" s="510" t="s">
        <v>203</v>
      </c>
      <c r="M13" s="510"/>
      <c r="N13" s="510"/>
      <c r="O13" s="510"/>
      <c r="P13" s="510"/>
      <c r="Q13" s="510"/>
    </row>
    <row r="14" spans="4:24" ht="28.5" x14ac:dyDescent="0.3">
      <c r="D14" s="527" t="s">
        <v>3</v>
      </c>
      <c r="E14" s="528"/>
      <c r="F14" s="233">
        <f>SUM(F6:F13)</f>
        <v>103</v>
      </c>
      <c r="G14" s="233">
        <f>SUM(G6:G13)</f>
        <v>102</v>
      </c>
      <c r="H14" s="233">
        <f>SUM(H6:H13)</f>
        <v>101</v>
      </c>
      <c r="I14" s="233">
        <f>SUM(I6:I13)</f>
        <v>199</v>
      </c>
      <c r="J14" s="236">
        <f>SUM(J6:J13)</f>
        <v>505</v>
      </c>
      <c r="L14" s="246" t="s">
        <v>134</v>
      </c>
      <c r="M14" s="246" t="s">
        <v>151</v>
      </c>
      <c r="N14" s="246" t="s">
        <v>152</v>
      </c>
      <c r="O14" s="246" t="s">
        <v>153</v>
      </c>
      <c r="P14" s="246" t="s">
        <v>154</v>
      </c>
      <c r="Q14" s="272" t="s">
        <v>3</v>
      </c>
    </row>
    <row r="15" spans="4:24" ht="14.25" x14ac:dyDescent="0.3">
      <c r="L15" s="215" t="s">
        <v>135</v>
      </c>
      <c r="M15" s="218">
        <f t="shared" ref="M15:P18" si="1">M6+T6</f>
        <v>33</v>
      </c>
      <c r="N15" s="218">
        <f t="shared" si="1"/>
        <v>28</v>
      </c>
      <c r="O15" s="218">
        <f t="shared" si="1"/>
        <v>25</v>
      </c>
      <c r="P15" s="218">
        <f t="shared" si="1"/>
        <v>34</v>
      </c>
      <c r="Q15" s="234">
        <f>SUM(M15:P15)</f>
        <v>120</v>
      </c>
      <c r="S15" t="s">
        <v>207</v>
      </c>
      <c r="T15" t="s">
        <v>208</v>
      </c>
    </row>
    <row r="16" spans="4:24" ht="14.25" x14ac:dyDescent="0.3">
      <c r="F16" s="1">
        <f t="shared" ref="F16:I23" si="2">100*F6/$J6</f>
        <v>27.118644067796609</v>
      </c>
      <c r="G16" s="1">
        <f t="shared" si="2"/>
        <v>16.949152542372882</v>
      </c>
      <c r="H16" s="1">
        <f t="shared" si="2"/>
        <v>25.423728813559322</v>
      </c>
      <c r="I16" s="1">
        <f t="shared" si="2"/>
        <v>30.508474576271187</v>
      </c>
      <c r="L16" s="216" t="s">
        <v>136</v>
      </c>
      <c r="M16" s="219">
        <f t="shared" si="1"/>
        <v>14</v>
      </c>
      <c r="N16" s="219">
        <f t="shared" si="1"/>
        <v>13</v>
      </c>
      <c r="O16" s="219">
        <f t="shared" si="1"/>
        <v>13</v>
      </c>
      <c r="P16" s="219">
        <f t="shared" si="1"/>
        <v>50</v>
      </c>
      <c r="Q16" s="235">
        <f>SUM(M16:P16)</f>
        <v>90</v>
      </c>
      <c r="S16">
        <v>0</v>
      </c>
      <c r="T16">
        <v>3</v>
      </c>
    </row>
    <row r="17" spans="4:20" ht="14.25" x14ac:dyDescent="0.3">
      <c r="F17" s="33">
        <f t="shared" si="2"/>
        <v>27.868852459016395</v>
      </c>
      <c r="G17" s="33">
        <f t="shared" si="2"/>
        <v>29.508196721311474</v>
      </c>
      <c r="H17" s="33">
        <f t="shared" si="2"/>
        <v>16.393442622950818</v>
      </c>
      <c r="I17" s="33">
        <f t="shared" si="2"/>
        <v>26.229508196721312</v>
      </c>
      <c r="L17" s="216" t="s">
        <v>137</v>
      </c>
      <c r="M17" s="219">
        <f t="shared" si="1"/>
        <v>20</v>
      </c>
      <c r="N17" s="219">
        <f t="shared" si="1"/>
        <v>24</v>
      </c>
      <c r="O17" s="219">
        <f t="shared" si="1"/>
        <v>22</v>
      </c>
      <c r="P17" s="219">
        <f t="shared" si="1"/>
        <v>39</v>
      </c>
      <c r="Q17" s="235">
        <f>SUM(M17:P17)</f>
        <v>105</v>
      </c>
      <c r="S17">
        <v>3</v>
      </c>
      <c r="T17">
        <v>1</v>
      </c>
    </row>
    <row r="18" spans="4:20" ht="14.25" x14ac:dyDescent="0.3">
      <c r="F18" s="1">
        <f t="shared" si="2"/>
        <v>18.75</v>
      </c>
      <c r="G18" s="1">
        <f t="shared" si="2"/>
        <v>14.583333333333334</v>
      </c>
      <c r="H18" s="1">
        <f t="shared" si="2"/>
        <v>10.416666666666666</v>
      </c>
      <c r="I18" s="1">
        <f t="shared" si="2"/>
        <v>56.25</v>
      </c>
      <c r="L18" s="217" t="s">
        <v>143</v>
      </c>
      <c r="M18" s="220">
        <f t="shared" si="1"/>
        <v>36</v>
      </c>
      <c r="N18" s="220">
        <f t="shared" si="1"/>
        <v>37</v>
      </c>
      <c r="O18" s="220">
        <f t="shared" si="1"/>
        <v>41</v>
      </c>
      <c r="P18" s="220">
        <f t="shared" si="1"/>
        <v>76</v>
      </c>
      <c r="Q18" s="236">
        <f>SUM(M18:P18)</f>
        <v>190</v>
      </c>
    </row>
    <row r="19" spans="4:20" ht="14.25" x14ac:dyDescent="0.3">
      <c r="F19" s="33">
        <f t="shared" si="2"/>
        <v>11.904761904761905</v>
      </c>
      <c r="G19" s="33">
        <f t="shared" si="2"/>
        <v>14.285714285714286</v>
      </c>
      <c r="H19" s="33">
        <f t="shared" si="2"/>
        <v>19.047619047619047</v>
      </c>
      <c r="I19" s="33">
        <f t="shared" si="2"/>
        <v>54.761904761904759</v>
      </c>
      <c r="L19" s="210" t="s">
        <v>3</v>
      </c>
      <c r="M19" s="233">
        <f>SUM(M15:M18)</f>
        <v>103</v>
      </c>
      <c r="N19" s="233">
        <f>SUM(N15:N18)</f>
        <v>102</v>
      </c>
      <c r="O19" s="233">
        <f>SUM(O15:O18)</f>
        <v>101</v>
      </c>
      <c r="P19" s="233">
        <f>SUM(P15:P18)</f>
        <v>199</v>
      </c>
      <c r="Q19" s="233">
        <f>SUM(Q15:Q18)</f>
        <v>505</v>
      </c>
    </row>
    <row r="20" spans="4:20" x14ac:dyDescent="0.25">
      <c r="F20" s="1">
        <f t="shared" si="2"/>
        <v>21.428571428571427</v>
      </c>
      <c r="G20" s="1">
        <f t="shared" si="2"/>
        <v>28.571428571428573</v>
      </c>
      <c r="H20" s="1">
        <f t="shared" si="2"/>
        <v>21.428571428571427</v>
      </c>
      <c r="I20" s="1">
        <f t="shared" si="2"/>
        <v>28.571428571428573</v>
      </c>
    </row>
    <row r="21" spans="4:20" x14ac:dyDescent="0.25">
      <c r="F21" s="33">
        <f t="shared" si="2"/>
        <v>16.326530612244898</v>
      </c>
      <c r="G21" s="33">
        <f t="shared" si="2"/>
        <v>16.326530612244898</v>
      </c>
      <c r="H21" s="33">
        <f t="shared" si="2"/>
        <v>20.408163265306122</v>
      </c>
      <c r="I21" s="33">
        <f t="shared" si="2"/>
        <v>46.938775510204081</v>
      </c>
    </row>
    <row r="22" spans="4:20" x14ac:dyDescent="0.25">
      <c r="F22" s="1">
        <f t="shared" si="2"/>
        <v>22.222222222222221</v>
      </c>
      <c r="G22" s="1">
        <f t="shared" si="2"/>
        <v>22.222222222222221</v>
      </c>
      <c r="H22" s="1">
        <f t="shared" si="2"/>
        <v>22.222222222222221</v>
      </c>
      <c r="I22" s="1">
        <f t="shared" si="2"/>
        <v>33.333333333333336</v>
      </c>
    </row>
    <row r="23" spans="4:20" x14ac:dyDescent="0.25">
      <c r="F23" s="33">
        <f t="shared" si="2"/>
        <v>16</v>
      </c>
      <c r="G23" s="33">
        <f t="shared" si="2"/>
        <v>17</v>
      </c>
      <c r="H23" s="33">
        <f t="shared" si="2"/>
        <v>21</v>
      </c>
      <c r="I23" s="33">
        <f t="shared" si="2"/>
        <v>46</v>
      </c>
    </row>
    <row r="24" spans="4:20" ht="14.25" customHeight="1" x14ac:dyDescent="0.3">
      <c r="E24" s="254"/>
      <c r="F24" s="302"/>
      <c r="G24" s="302"/>
      <c r="H24" s="302"/>
      <c r="I24" s="302"/>
      <c r="J24" s="254"/>
      <c r="L24" s="523" t="s">
        <v>204</v>
      </c>
      <c r="M24" s="523"/>
      <c r="N24" s="523"/>
      <c r="O24" s="523"/>
      <c r="P24" s="523"/>
      <c r="Q24" s="523"/>
    </row>
    <row r="25" spans="4:20" ht="28.5" x14ac:dyDescent="0.3">
      <c r="D25" s="252"/>
      <c r="E25" s="252"/>
      <c r="F25" s="310"/>
      <c r="G25" s="310"/>
      <c r="H25" s="310"/>
      <c r="I25" s="310"/>
      <c r="J25" s="301"/>
      <c r="L25" s="252" t="s">
        <v>182</v>
      </c>
      <c r="M25" s="252" t="s">
        <v>151</v>
      </c>
      <c r="N25" s="252" t="s">
        <v>152</v>
      </c>
      <c r="O25" s="252" t="s">
        <v>153</v>
      </c>
      <c r="P25" s="252" t="s">
        <v>154</v>
      </c>
      <c r="Q25" s="301" t="s">
        <v>3</v>
      </c>
    </row>
    <row r="26" spans="4:20" ht="14.25" x14ac:dyDescent="0.3">
      <c r="D26" s="254"/>
      <c r="E26" s="301"/>
      <c r="F26" s="247">
        <f>100*(F6+F7)/($J6+$J7)</f>
        <v>27.5</v>
      </c>
      <c r="G26" s="247">
        <f>100*(G6+G7)/($J6+$J7)</f>
        <v>23.333333333333332</v>
      </c>
      <c r="H26" s="247">
        <f>100*(H6+H7)/($J6+$J7)</f>
        <v>20.833333333333332</v>
      </c>
      <c r="I26" s="247">
        <f>100*(I6+I7)/($J6+$J7)</f>
        <v>28.333333333333332</v>
      </c>
      <c r="J26" s="302">
        <f>SUM(F26:I26)</f>
        <v>99.999999999999986</v>
      </c>
      <c r="L26" s="301" t="s">
        <v>183</v>
      </c>
      <c r="M26" s="247">
        <f t="shared" ref="M26:P27" si="3">F26+F32+F38+F44</f>
        <v>59.5</v>
      </c>
      <c r="N26" s="247">
        <f t="shared" si="3"/>
        <v>59.333333333333329</v>
      </c>
      <c r="O26" s="247">
        <f t="shared" si="3"/>
        <v>52.833333333333329</v>
      </c>
      <c r="P26" s="247">
        <f t="shared" si="3"/>
        <v>74.333333333333329</v>
      </c>
      <c r="Q26" s="302">
        <f>SUM(M26:P26)</f>
        <v>246</v>
      </c>
    </row>
    <row r="27" spans="4:20" ht="14.25" x14ac:dyDescent="0.3">
      <c r="D27" s="254"/>
      <c r="E27" s="301"/>
      <c r="F27" s="247">
        <f>100*(F9+F8)/($J9+$J8)</f>
        <v>15.555555555555555</v>
      </c>
      <c r="G27" s="247">
        <f>100*(G9+G8)/($J9+$J8)</f>
        <v>14.444444444444445</v>
      </c>
      <c r="H27" s="247">
        <f>100*(H9+H8)/($J9+$J8)</f>
        <v>14.444444444444445</v>
      </c>
      <c r="I27" s="247">
        <f>100*(I9+I8)/($J9+$J8)</f>
        <v>55.555555555555557</v>
      </c>
      <c r="J27" s="302"/>
      <c r="L27" s="301" t="s">
        <v>184</v>
      </c>
      <c r="M27" s="247">
        <f t="shared" si="3"/>
        <v>39.555555555555557</v>
      </c>
      <c r="N27" s="247">
        <f t="shared" si="3"/>
        <v>39.444444444444443</v>
      </c>
      <c r="O27" s="247">
        <f t="shared" si="3"/>
        <v>45.444444444444443</v>
      </c>
      <c r="P27" s="247">
        <f t="shared" si="3"/>
        <v>124.55555555555556</v>
      </c>
      <c r="Q27" s="302">
        <f>SUM(M27:P27)</f>
        <v>249</v>
      </c>
    </row>
    <row r="28" spans="4:20" ht="14.25" x14ac:dyDescent="0.3">
      <c r="D28" s="254"/>
      <c r="E28" s="301"/>
      <c r="F28" s="302"/>
      <c r="G28" s="302"/>
      <c r="H28" s="302"/>
      <c r="I28" s="302"/>
      <c r="J28" s="302"/>
      <c r="L28" s="301" t="s">
        <v>3</v>
      </c>
      <c r="M28" s="302">
        <f>SUM(M26:M27)</f>
        <v>99.055555555555557</v>
      </c>
      <c r="N28" s="302">
        <f>SUM(N26:N27)</f>
        <v>98.777777777777771</v>
      </c>
      <c r="O28" s="302">
        <f>SUM(O26:O27)</f>
        <v>98.277777777777771</v>
      </c>
      <c r="P28" s="302">
        <f>SUM(P26:P27)</f>
        <v>198.88888888888889</v>
      </c>
      <c r="Q28" s="302">
        <f>SUM(Q26:Q27)</f>
        <v>495</v>
      </c>
    </row>
    <row r="29" spans="4:20" ht="14.25" x14ac:dyDescent="0.3">
      <c r="D29" s="254"/>
      <c r="E29" s="254"/>
      <c r="F29" s="247"/>
      <c r="G29" s="247"/>
      <c r="H29" s="247"/>
      <c r="I29" s="247"/>
      <c r="J29" s="300"/>
    </row>
    <row r="30" spans="4:20" ht="14.25" x14ac:dyDescent="0.3">
      <c r="D30" s="254"/>
      <c r="E30" s="523"/>
      <c r="F30" s="523"/>
      <c r="G30" s="523"/>
      <c r="H30" s="523"/>
      <c r="I30" s="523"/>
      <c r="J30" s="523"/>
    </row>
    <row r="31" spans="4:20" ht="14.25" x14ac:dyDescent="0.3">
      <c r="D31" s="252"/>
      <c r="E31" s="252"/>
      <c r="F31" s="252"/>
      <c r="G31" s="252"/>
      <c r="H31" s="252"/>
      <c r="I31" s="252"/>
      <c r="J31" s="301"/>
    </row>
    <row r="32" spans="4:20" ht="14.25" x14ac:dyDescent="0.3">
      <c r="D32" s="254"/>
      <c r="E32" s="301"/>
      <c r="F32" s="247"/>
      <c r="G32" s="247"/>
      <c r="H32" s="247"/>
      <c r="I32" s="247"/>
      <c r="J32" s="302"/>
    </row>
    <row r="33" spans="4:10" ht="14.25" x14ac:dyDescent="0.3">
      <c r="D33" s="254"/>
      <c r="E33" s="301"/>
      <c r="F33" s="247"/>
      <c r="G33" s="247"/>
      <c r="H33" s="247"/>
      <c r="I33" s="247"/>
      <c r="J33" s="302"/>
    </row>
    <row r="34" spans="4:10" ht="14.25" x14ac:dyDescent="0.3">
      <c r="D34" s="254"/>
      <c r="E34" s="301"/>
      <c r="F34" s="302"/>
      <c r="G34" s="302"/>
      <c r="H34" s="302"/>
      <c r="I34" s="302"/>
      <c r="J34" s="302"/>
    </row>
    <row r="35" spans="4:10" ht="14.25" x14ac:dyDescent="0.3">
      <c r="D35" s="254"/>
      <c r="E35" s="254"/>
      <c r="F35" s="247"/>
      <c r="G35" s="247"/>
      <c r="H35" s="247"/>
      <c r="I35" s="247"/>
      <c r="J35" s="300"/>
    </row>
    <row r="36" spans="4:10" ht="14.25" x14ac:dyDescent="0.3">
      <c r="D36" s="254"/>
      <c r="E36" s="523" t="s">
        <v>205</v>
      </c>
      <c r="F36" s="523"/>
      <c r="G36" s="523"/>
      <c r="H36" s="523"/>
      <c r="I36" s="523"/>
      <c r="J36" s="523"/>
    </row>
    <row r="37" spans="4:10" ht="28.5" x14ac:dyDescent="0.3">
      <c r="D37" s="252"/>
      <c r="E37" s="252" t="s">
        <v>182</v>
      </c>
      <c r="F37" s="252" t="s">
        <v>151</v>
      </c>
      <c r="G37" s="252" t="s">
        <v>152</v>
      </c>
      <c r="H37" s="252" t="s">
        <v>153</v>
      </c>
      <c r="I37" s="252" t="s">
        <v>154</v>
      </c>
      <c r="J37" s="301" t="s">
        <v>3</v>
      </c>
    </row>
    <row r="38" spans="4:10" ht="14.25" x14ac:dyDescent="0.3">
      <c r="D38" s="254"/>
      <c r="E38" s="301" t="s">
        <v>183</v>
      </c>
      <c r="F38" s="247">
        <v>12</v>
      </c>
      <c r="G38" s="247">
        <v>16</v>
      </c>
      <c r="H38" s="247">
        <v>12</v>
      </c>
      <c r="I38" s="247">
        <v>16</v>
      </c>
      <c r="J38" s="302">
        <f t="shared" ref="J38:J45" si="4">SUM(F38:I38)</f>
        <v>56</v>
      </c>
    </row>
    <row r="39" spans="4:10" ht="14.25" x14ac:dyDescent="0.3">
      <c r="D39" s="254"/>
      <c r="E39" s="301" t="s">
        <v>184</v>
      </c>
      <c r="F39" s="247">
        <v>8</v>
      </c>
      <c r="G39" s="247">
        <v>8</v>
      </c>
      <c r="H39" s="247">
        <v>10</v>
      </c>
      <c r="I39" s="247">
        <v>23</v>
      </c>
      <c r="J39" s="302">
        <f t="shared" si="4"/>
        <v>49</v>
      </c>
    </row>
    <row r="40" spans="4:10" ht="14.25" x14ac:dyDescent="0.3">
      <c r="D40" s="254"/>
      <c r="E40" s="301" t="s">
        <v>3</v>
      </c>
      <c r="F40" s="302">
        <f>SUM(F38:F39)</f>
        <v>20</v>
      </c>
      <c r="G40" s="302">
        <f>SUM(G38:G39)</f>
        <v>24</v>
      </c>
      <c r="H40" s="302">
        <f>SUM(H38:H39)</f>
        <v>22</v>
      </c>
      <c r="I40" s="302">
        <f>SUM(I38:I39)</f>
        <v>39</v>
      </c>
      <c r="J40" s="302">
        <f>SUM(J38:J39)</f>
        <v>105</v>
      </c>
    </row>
    <row r="41" spans="4:10" ht="14.25" x14ac:dyDescent="0.3">
      <c r="D41" s="254"/>
      <c r="E41" s="254"/>
      <c r="F41" s="247"/>
      <c r="G41" s="247"/>
      <c r="H41" s="247"/>
      <c r="I41" s="247"/>
      <c r="J41" s="300"/>
    </row>
    <row r="42" spans="4:10" ht="14.25" x14ac:dyDescent="0.3">
      <c r="D42" s="254"/>
      <c r="E42" s="523" t="s">
        <v>206</v>
      </c>
      <c r="F42" s="523"/>
      <c r="G42" s="523"/>
      <c r="H42" s="523"/>
      <c r="I42" s="523"/>
      <c r="J42" s="523"/>
    </row>
    <row r="43" spans="4:10" ht="28.5" x14ac:dyDescent="0.3">
      <c r="D43" s="252"/>
      <c r="E43" s="252" t="s">
        <v>182</v>
      </c>
      <c r="F43" s="252" t="s">
        <v>151</v>
      </c>
      <c r="G43" s="252" t="s">
        <v>152</v>
      </c>
      <c r="H43" s="252" t="s">
        <v>153</v>
      </c>
      <c r="I43" s="252" t="s">
        <v>154</v>
      </c>
      <c r="J43" s="301" t="s">
        <v>3</v>
      </c>
    </row>
    <row r="44" spans="4:10" ht="14.25" x14ac:dyDescent="0.3">
      <c r="D44" s="254"/>
      <c r="E44" s="301" t="s">
        <v>183</v>
      </c>
      <c r="F44" s="247">
        <v>20</v>
      </c>
      <c r="G44" s="247">
        <v>20</v>
      </c>
      <c r="H44" s="247">
        <v>20</v>
      </c>
      <c r="I44" s="247">
        <v>30</v>
      </c>
      <c r="J44" s="302">
        <f t="shared" si="4"/>
        <v>90</v>
      </c>
    </row>
    <row r="45" spans="4:10" ht="14.25" x14ac:dyDescent="0.3">
      <c r="D45" s="254"/>
      <c r="E45" s="301" t="s">
        <v>184</v>
      </c>
      <c r="F45" s="247">
        <v>16</v>
      </c>
      <c r="G45" s="247">
        <v>17</v>
      </c>
      <c r="H45" s="247">
        <v>21</v>
      </c>
      <c r="I45" s="247">
        <v>46</v>
      </c>
      <c r="J45" s="302">
        <f t="shared" si="4"/>
        <v>100</v>
      </c>
    </row>
    <row r="46" spans="4:10" ht="14.25" x14ac:dyDescent="0.3">
      <c r="D46" s="301" t="s">
        <v>3</v>
      </c>
      <c r="E46" s="301" t="s">
        <v>3</v>
      </c>
      <c r="F46" s="302">
        <f>SUM(F44:F45)</f>
        <v>36</v>
      </c>
      <c r="G46" s="302">
        <f>SUM(G44:G45)</f>
        <v>37</v>
      </c>
      <c r="H46" s="302">
        <f>SUM(H44:H45)</f>
        <v>41</v>
      </c>
      <c r="I46" s="302">
        <f>SUM(I44:I45)</f>
        <v>76</v>
      </c>
      <c r="J46" s="302">
        <f>SUM(J44:J45)</f>
        <v>190</v>
      </c>
    </row>
    <row r="47" spans="4:10" x14ac:dyDescent="0.25">
      <c r="D47" s="74"/>
      <c r="E47" s="74"/>
      <c r="F47" s="74"/>
      <c r="G47" s="74"/>
      <c r="H47" s="74"/>
      <c r="I47" s="74"/>
      <c r="J47" s="74"/>
    </row>
    <row r="53" spans="3:13" x14ac:dyDescent="0.25">
      <c r="H53" s="311"/>
      <c r="I53" s="311"/>
      <c r="J53" s="311"/>
    </row>
    <row r="54" spans="3:13" x14ac:dyDescent="0.25">
      <c r="H54" s="311"/>
      <c r="I54" s="311"/>
      <c r="J54" s="311"/>
    </row>
    <row r="55" spans="3:13" ht="14.25" customHeight="1" x14ac:dyDescent="0.3">
      <c r="C55" s="74"/>
      <c r="D55" s="524" t="s">
        <v>212</v>
      </c>
      <c r="E55" s="525"/>
      <c r="F55" s="525"/>
      <c r="G55" s="526"/>
      <c r="H55" s="312"/>
      <c r="I55" s="510" t="s">
        <v>213</v>
      </c>
      <c r="J55" s="510"/>
      <c r="K55" s="510"/>
      <c r="L55" s="510"/>
    </row>
    <row r="56" spans="3:13" ht="28.5" x14ac:dyDescent="0.25">
      <c r="C56" s="252"/>
      <c r="D56" s="214" t="s">
        <v>182</v>
      </c>
      <c r="E56" s="246" t="s">
        <v>151</v>
      </c>
      <c r="F56" s="246" t="s">
        <v>152</v>
      </c>
      <c r="G56" s="214" t="s">
        <v>209</v>
      </c>
      <c r="H56" s="253"/>
      <c r="I56" s="214" t="s">
        <v>182</v>
      </c>
      <c r="J56" s="214" t="s">
        <v>151</v>
      </c>
      <c r="K56" s="214" t="s">
        <v>152</v>
      </c>
      <c r="L56" s="214" t="s">
        <v>209</v>
      </c>
    </row>
    <row r="57" spans="3:13" ht="14.25" x14ac:dyDescent="0.3">
      <c r="C57" s="254"/>
      <c r="D57" s="314" t="s">
        <v>210</v>
      </c>
      <c r="E57" s="315">
        <v>80</v>
      </c>
      <c r="F57" s="316">
        <v>400</v>
      </c>
      <c r="G57" s="315">
        <f>100*E57/F57</f>
        <v>20</v>
      </c>
      <c r="H57" s="313"/>
      <c r="I57" s="314" t="s">
        <v>210</v>
      </c>
      <c r="J57" s="315">
        <v>8</v>
      </c>
      <c r="K57" s="315">
        <v>100</v>
      </c>
      <c r="L57" s="315">
        <f>100*J57/K57</f>
        <v>8</v>
      </c>
    </row>
    <row r="58" spans="3:13" ht="14.25" x14ac:dyDescent="0.3">
      <c r="C58" s="254"/>
      <c r="D58" s="306" t="s">
        <v>211</v>
      </c>
      <c r="E58" s="304">
        <v>7</v>
      </c>
      <c r="F58" s="317">
        <v>28</v>
      </c>
      <c r="G58" s="304">
        <f>100*E58/F58</f>
        <v>25</v>
      </c>
      <c r="H58" s="313"/>
      <c r="I58" s="306" t="s">
        <v>211</v>
      </c>
      <c r="J58" s="304">
        <v>16</v>
      </c>
      <c r="K58" s="304">
        <v>150</v>
      </c>
      <c r="L58" s="304">
        <f>100*J58/K58</f>
        <v>10.666666666666666</v>
      </c>
    </row>
    <row r="59" spans="3:13" ht="14.25" x14ac:dyDescent="0.3">
      <c r="C59" s="312"/>
      <c r="D59" s="312"/>
      <c r="E59" s="313"/>
      <c r="F59" s="313"/>
      <c r="G59" s="313"/>
      <c r="H59" s="313"/>
      <c r="I59" s="312"/>
      <c r="J59" s="312"/>
      <c r="K59" s="311"/>
      <c r="L59" s="311"/>
      <c r="M59" s="313"/>
    </row>
    <row r="60" spans="3:13" ht="14.25" x14ac:dyDescent="0.3">
      <c r="C60" s="312"/>
      <c r="D60" s="510" t="s">
        <v>214</v>
      </c>
      <c r="E60" s="510"/>
      <c r="F60" s="510"/>
      <c r="G60" s="510"/>
      <c r="H60" s="313"/>
      <c r="I60" s="312"/>
      <c r="J60" s="312"/>
      <c r="K60" s="311"/>
      <c r="L60" s="311"/>
      <c r="M60" s="313"/>
    </row>
    <row r="61" spans="3:13" ht="28.5" x14ac:dyDescent="0.25">
      <c r="D61" s="214" t="s">
        <v>182</v>
      </c>
      <c r="E61" s="214" t="s">
        <v>151</v>
      </c>
      <c r="F61" s="214" t="s">
        <v>152</v>
      </c>
      <c r="G61" s="214" t="s">
        <v>209</v>
      </c>
      <c r="H61" s="311"/>
      <c r="I61" s="311"/>
      <c r="J61" s="311"/>
      <c r="K61" s="311"/>
      <c r="L61" s="311"/>
      <c r="M61" s="311"/>
    </row>
    <row r="62" spans="3:13" ht="14.25" x14ac:dyDescent="0.3">
      <c r="D62" s="314" t="s">
        <v>210</v>
      </c>
      <c r="E62" s="315">
        <f>E57+J57</f>
        <v>88</v>
      </c>
      <c r="F62" s="315">
        <f>F57+K57</f>
        <v>500</v>
      </c>
      <c r="G62" s="315">
        <f>100*E62/F62</f>
        <v>17.600000000000001</v>
      </c>
      <c r="H62" s="311"/>
      <c r="I62" s="311"/>
      <c r="J62" s="311">
        <f>SUM(E57:F58)</f>
        <v>515</v>
      </c>
      <c r="K62">
        <f>SUM(J57:K58)</f>
        <v>274</v>
      </c>
    </row>
    <row r="63" spans="3:13" ht="14.25" customHeight="1" x14ac:dyDescent="0.3">
      <c r="D63" s="306" t="s">
        <v>211</v>
      </c>
      <c r="E63" s="304">
        <f>E58+J58</f>
        <v>23</v>
      </c>
      <c r="F63" s="304">
        <f>F58+K58</f>
        <v>178</v>
      </c>
      <c r="G63" s="304">
        <f>100*E63/F63</f>
        <v>12.921348314606741</v>
      </c>
      <c r="J63">
        <f>SUM(E62:F63)</f>
        <v>789</v>
      </c>
    </row>
    <row r="64" spans="3:13" ht="14.25" x14ac:dyDescent="0.25">
      <c r="F64" s="252"/>
      <c r="K64">
        <f>SUM(J62:K62)</f>
        <v>789</v>
      </c>
    </row>
    <row r="65" spans="4:10" ht="14.25" x14ac:dyDescent="0.3">
      <c r="F65" s="254"/>
    </row>
    <row r="66" spans="4:10" ht="14.25" x14ac:dyDescent="0.3">
      <c r="F66" s="254"/>
    </row>
    <row r="67" spans="4:10" x14ac:dyDescent="0.25">
      <c r="H67" s="313"/>
      <c r="I67" s="313"/>
      <c r="J67" s="313"/>
    </row>
    <row r="68" spans="4:10" x14ac:dyDescent="0.25">
      <c r="H68" s="313"/>
      <c r="I68" s="313"/>
      <c r="J68" s="313"/>
    </row>
    <row r="76" spans="4:10" ht="14.25" x14ac:dyDescent="0.3">
      <c r="D76" s="507" t="s">
        <v>218</v>
      </c>
      <c r="E76" s="507"/>
      <c r="F76" s="507"/>
      <c r="G76" s="507"/>
      <c r="H76" s="507"/>
    </row>
    <row r="77" spans="4:10" ht="14.25" x14ac:dyDescent="0.3">
      <c r="D77" s="131" t="s">
        <v>215</v>
      </c>
      <c r="E77" s="131" t="s">
        <v>135</v>
      </c>
      <c r="F77" s="131" t="s">
        <v>136</v>
      </c>
      <c r="G77" s="131" t="s">
        <v>137</v>
      </c>
      <c r="H77" s="131" t="s">
        <v>143</v>
      </c>
      <c r="I77" s="1"/>
    </row>
    <row r="78" spans="4:10" ht="14.25" x14ac:dyDescent="0.3">
      <c r="D78" s="248" t="s">
        <v>135</v>
      </c>
      <c r="E78" s="108">
        <v>1</v>
      </c>
      <c r="F78" s="108">
        <v>0</v>
      </c>
      <c r="G78" s="108">
        <v>0</v>
      </c>
      <c r="H78" s="108">
        <v>0</v>
      </c>
      <c r="I78" s="1"/>
    </row>
    <row r="79" spans="4:10" ht="14.25" x14ac:dyDescent="0.3">
      <c r="D79" s="323" t="s">
        <v>136</v>
      </c>
      <c r="E79" s="109">
        <v>0</v>
      </c>
      <c r="F79" s="109">
        <v>1</v>
      </c>
      <c r="G79" s="109">
        <v>0</v>
      </c>
      <c r="H79" s="109">
        <v>0</v>
      </c>
      <c r="I79" s="1"/>
    </row>
    <row r="80" spans="4:10" ht="14.25" x14ac:dyDescent="0.3">
      <c r="D80" s="323" t="s">
        <v>137</v>
      </c>
      <c r="E80" s="109">
        <v>0</v>
      </c>
      <c r="F80" s="109">
        <v>0</v>
      </c>
      <c r="G80" s="109">
        <v>1</v>
      </c>
      <c r="H80" s="109">
        <v>0</v>
      </c>
      <c r="I80" s="1"/>
    </row>
    <row r="81" spans="4:9" ht="14.25" x14ac:dyDescent="0.3">
      <c r="D81" s="249" t="s">
        <v>143</v>
      </c>
      <c r="E81" s="110">
        <v>0</v>
      </c>
      <c r="F81" s="110">
        <v>0</v>
      </c>
      <c r="G81" s="110">
        <v>0</v>
      </c>
      <c r="H81" s="110">
        <v>0</v>
      </c>
      <c r="I81" s="1"/>
    </row>
    <row r="82" spans="4:9" ht="14.25" x14ac:dyDescent="0.3">
      <c r="D82" s="324"/>
      <c r="E82" s="1"/>
      <c r="F82" s="1"/>
      <c r="G82" s="1"/>
      <c r="H82" s="1"/>
      <c r="I82" s="1"/>
    </row>
    <row r="83" spans="4:9" ht="28.5" x14ac:dyDescent="0.3">
      <c r="D83" s="325" t="s">
        <v>216</v>
      </c>
      <c r="E83" s="325" t="s">
        <v>151</v>
      </c>
      <c r="F83" s="325" t="s">
        <v>152</v>
      </c>
      <c r="G83" s="325" t="s">
        <v>217</v>
      </c>
      <c r="H83" s="325" t="s">
        <v>154</v>
      </c>
      <c r="I83" s="1"/>
    </row>
    <row r="84" spans="4:9" ht="28.5" x14ac:dyDescent="0.3">
      <c r="D84" s="326" t="s">
        <v>151</v>
      </c>
      <c r="E84" s="219">
        <v>1</v>
      </c>
      <c r="F84" s="247">
        <v>0</v>
      </c>
      <c r="G84" s="219">
        <v>0</v>
      </c>
      <c r="H84" s="318">
        <v>0</v>
      </c>
      <c r="I84" s="1"/>
    </row>
    <row r="85" spans="4:9" ht="14.25" x14ac:dyDescent="0.3">
      <c r="D85" s="326" t="s">
        <v>152</v>
      </c>
      <c r="E85" s="219">
        <v>0</v>
      </c>
      <c r="F85" s="247">
        <v>1</v>
      </c>
      <c r="G85" s="219">
        <v>0</v>
      </c>
      <c r="H85" s="318">
        <v>0</v>
      </c>
      <c r="I85" s="1"/>
    </row>
    <row r="86" spans="4:9" ht="28.5" x14ac:dyDescent="0.3">
      <c r="D86" s="326" t="s">
        <v>217</v>
      </c>
      <c r="E86" s="219">
        <v>0</v>
      </c>
      <c r="F86" s="247">
        <v>0</v>
      </c>
      <c r="G86" s="219">
        <v>1</v>
      </c>
      <c r="H86" s="318">
        <v>0</v>
      </c>
      <c r="I86" s="1"/>
    </row>
    <row r="87" spans="4:9" ht="28.5" x14ac:dyDescent="0.3">
      <c r="D87" s="327" t="s">
        <v>154</v>
      </c>
      <c r="E87" s="220">
        <v>0</v>
      </c>
      <c r="F87" s="319">
        <v>0</v>
      </c>
      <c r="G87" s="220">
        <v>0</v>
      </c>
      <c r="H87" s="320">
        <v>1</v>
      </c>
      <c r="I87" s="1"/>
    </row>
    <row r="88" spans="4:9" ht="14.25" x14ac:dyDescent="0.3">
      <c r="D88" s="324"/>
      <c r="E88" s="1"/>
      <c r="F88" s="1"/>
      <c r="G88" s="1"/>
      <c r="H88" s="1"/>
      <c r="I88" s="1"/>
    </row>
    <row r="89" spans="4:9" ht="14.25" x14ac:dyDescent="0.3">
      <c r="D89" s="131" t="s">
        <v>182</v>
      </c>
      <c r="E89" s="131" t="s">
        <v>183</v>
      </c>
      <c r="F89" s="131" t="s">
        <v>184</v>
      </c>
      <c r="G89" s="1"/>
      <c r="H89" s="1"/>
      <c r="I89" s="1"/>
    </row>
    <row r="90" spans="4:9" ht="14.25" x14ac:dyDescent="0.3">
      <c r="D90" s="328" t="s">
        <v>183</v>
      </c>
      <c r="E90" s="108">
        <v>1</v>
      </c>
      <c r="F90" s="321">
        <v>0</v>
      </c>
      <c r="G90" s="1"/>
      <c r="H90" s="1"/>
      <c r="I90" s="1"/>
    </row>
    <row r="91" spans="4:9" ht="14.25" x14ac:dyDescent="0.3">
      <c r="D91" s="329" t="s">
        <v>184</v>
      </c>
      <c r="E91" s="110">
        <v>0</v>
      </c>
      <c r="F91" s="322">
        <v>1</v>
      </c>
      <c r="G91" s="1"/>
      <c r="H91" s="1"/>
      <c r="I91" s="1"/>
    </row>
    <row r="92" spans="4:9" x14ac:dyDescent="0.25">
      <c r="D92" s="1"/>
      <c r="E92" s="1"/>
      <c r="F92" s="1"/>
      <c r="G92" s="1"/>
      <c r="H92" s="1"/>
      <c r="I92" s="1"/>
    </row>
  </sheetData>
  <mergeCells count="13">
    <mergeCell ref="D76:H76"/>
    <mergeCell ref="S4:X4"/>
    <mergeCell ref="L13:Q13"/>
    <mergeCell ref="E30:J30"/>
    <mergeCell ref="E36:J36"/>
    <mergeCell ref="E42:J42"/>
    <mergeCell ref="L24:Q24"/>
    <mergeCell ref="D55:G55"/>
    <mergeCell ref="I55:L55"/>
    <mergeCell ref="D60:G60"/>
    <mergeCell ref="D4:J4"/>
    <mergeCell ref="D14:E14"/>
    <mergeCell ref="L4:Q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Q58"/>
  <sheetViews>
    <sheetView zoomScaleNormal="100" workbookViewId="0">
      <selection activeCell="K4" sqref="K4"/>
    </sheetView>
  </sheetViews>
  <sheetFormatPr defaultRowHeight="12.75" x14ac:dyDescent="0.25"/>
  <cols>
    <col min="2" max="2" width="6" customWidth="1"/>
    <col min="3" max="3" width="7.140625" customWidth="1"/>
    <col min="4" max="5" width="7" customWidth="1"/>
    <col min="6" max="6" width="8.85546875" customWidth="1"/>
    <col min="7" max="7" width="2.28515625" customWidth="1"/>
    <col min="8" max="8" width="7.28515625" customWidth="1"/>
    <col min="9" max="9" width="14.140625" bestFit="1" customWidth="1"/>
  </cols>
  <sheetData>
    <row r="4" spans="2:17" ht="14.25" customHeight="1" x14ac:dyDescent="0.3">
      <c r="B4" s="514" t="s">
        <v>219</v>
      </c>
      <c r="C4" s="514"/>
      <c r="D4" s="514"/>
      <c r="E4" s="514"/>
      <c r="F4" s="514"/>
      <c r="G4" s="330"/>
      <c r="H4" s="514" t="s">
        <v>219</v>
      </c>
      <c r="I4" s="514"/>
      <c r="J4" s="514"/>
      <c r="L4" s="507" t="s">
        <v>220</v>
      </c>
      <c r="M4" s="507"/>
      <c r="N4" s="507"/>
      <c r="P4" s="507" t="s">
        <v>220</v>
      </c>
      <c r="Q4" s="507"/>
    </row>
    <row r="5" spans="2:17" ht="28.5" x14ac:dyDescent="0.3">
      <c r="B5" s="214" t="s">
        <v>134</v>
      </c>
      <c r="C5" s="214" t="s">
        <v>151</v>
      </c>
      <c r="D5" s="214" t="s">
        <v>152</v>
      </c>
      <c r="E5" s="214" t="s">
        <v>153</v>
      </c>
      <c r="F5" s="214" t="s">
        <v>154</v>
      </c>
      <c r="G5" s="252"/>
      <c r="H5" s="214" t="s">
        <v>134</v>
      </c>
      <c r="I5" s="214" t="s">
        <v>221</v>
      </c>
      <c r="J5" s="214" t="s">
        <v>1</v>
      </c>
      <c r="L5" s="335" t="s">
        <v>101</v>
      </c>
      <c r="M5" s="335" t="s">
        <v>102</v>
      </c>
      <c r="N5" s="335" t="s">
        <v>103</v>
      </c>
      <c r="P5" s="343" t="s">
        <v>221</v>
      </c>
      <c r="Q5" s="335" t="s">
        <v>4</v>
      </c>
    </row>
    <row r="6" spans="2:17" ht="14.25" x14ac:dyDescent="0.25">
      <c r="B6" s="246" t="s">
        <v>135</v>
      </c>
      <c r="C6" s="286">
        <v>28</v>
      </c>
      <c r="D6" s="282">
        <v>28</v>
      </c>
      <c r="E6" s="286">
        <v>25</v>
      </c>
      <c r="F6" s="282">
        <v>34</v>
      </c>
      <c r="G6" s="350"/>
      <c r="H6" s="351" t="s">
        <v>135</v>
      </c>
      <c r="I6" s="352" t="s">
        <v>151</v>
      </c>
      <c r="J6" s="353">
        <v>28</v>
      </c>
      <c r="L6" s="336">
        <v>43</v>
      </c>
      <c r="M6" s="337">
        <v>28</v>
      </c>
      <c r="N6" s="338">
        <v>38</v>
      </c>
      <c r="O6" s="1"/>
      <c r="P6" s="344" t="s">
        <v>71</v>
      </c>
      <c r="Q6" s="339">
        <v>43</v>
      </c>
    </row>
    <row r="7" spans="2:17" ht="14.25" x14ac:dyDescent="0.25">
      <c r="B7" s="354" t="s">
        <v>136</v>
      </c>
      <c r="C7" s="281">
        <v>14</v>
      </c>
      <c r="D7" s="283">
        <v>13</v>
      </c>
      <c r="E7" s="281">
        <v>13</v>
      </c>
      <c r="F7" s="283">
        <v>50</v>
      </c>
      <c r="G7" s="350"/>
      <c r="H7" s="351" t="s">
        <v>135</v>
      </c>
      <c r="I7" s="352" t="s">
        <v>152</v>
      </c>
      <c r="J7" s="353">
        <v>28</v>
      </c>
      <c r="L7" s="336">
        <v>25</v>
      </c>
      <c r="M7" s="337">
        <v>23</v>
      </c>
      <c r="N7" s="338">
        <v>34</v>
      </c>
      <c r="O7" s="1"/>
      <c r="P7" s="345" t="s">
        <v>71</v>
      </c>
      <c r="Q7" s="337">
        <v>25</v>
      </c>
    </row>
    <row r="8" spans="2:17" ht="14.25" x14ac:dyDescent="0.25">
      <c r="B8" s="354" t="s">
        <v>137</v>
      </c>
      <c r="C8" s="281">
        <v>20</v>
      </c>
      <c r="D8" s="283">
        <v>24</v>
      </c>
      <c r="E8" s="281">
        <v>22</v>
      </c>
      <c r="F8" s="283">
        <v>39</v>
      </c>
      <c r="G8" s="350"/>
      <c r="H8" s="351" t="s">
        <v>135</v>
      </c>
      <c r="I8" s="352" t="s">
        <v>153</v>
      </c>
      <c r="J8" s="353">
        <v>25</v>
      </c>
      <c r="L8" s="336">
        <v>52</v>
      </c>
      <c r="M8" s="337">
        <v>33</v>
      </c>
      <c r="N8" s="338">
        <v>62</v>
      </c>
      <c r="O8" s="1"/>
      <c r="P8" s="345" t="s">
        <v>71</v>
      </c>
      <c r="Q8" s="337">
        <v>52</v>
      </c>
    </row>
    <row r="9" spans="2:17" ht="14.25" x14ac:dyDescent="0.25">
      <c r="B9" s="355" t="s">
        <v>143</v>
      </c>
      <c r="C9" s="356">
        <v>36</v>
      </c>
      <c r="D9" s="284">
        <v>37</v>
      </c>
      <c r="E9" s="356">
        <v>41</v>
      </c>
      <c r="F9" s="284">
        <v>76</v>
      </c>
      <c r="G9" s="350"/>
      <c r="H9" s="351" t="s">
        <v>135</v>
      </c>
      <c r="I9" s="352" t="s">
        <v>154</v>
      </c>
      <c r="J9" s="353">
        <v>34</v>
      </c>
      <c r="L9" s="336">
        <v>60</v>
      </c>
      <c r="M9" s="337">
        <v>49</v>
      </c>
      <c r="N9" s="338">
        <v>25</v>
      </c>
      <c r="O9" s="1"/>
      <c r="P9" s="345" t="s">
        <v>71</v>
      </c>
      <c r="Q9" s="337">
        <v>60</v>
      </c>
    </row>
    <row r="10" spans="2:17" ht="14.25" x14ac:dyDescent="0.25">
      <c r="B10" s="252"/>
      <c r="C10" s="281"/>
      <c r="D10" s="281"/>
      <c r="E10" s="281"/>
      <c r="F10" s="281"/>
      <c r="G10" s="350"/>
      <c r="H10" s="351" t="s">
        <v>136</v>
      </c>
      <c r="I10" s="352" t="s">
        <v>151</v>
      </c>
      <c r="J10" s="353">
        <v>14</v>
      </c>
      <c r="L10" s="336">
        <v>40</v>
      </c>
      <c r="M10" s="337">
        <v>35</v>
      </c>
      <c r="N10" s="338">
        <v>51</v>
      </c>
      <c r="O10" s="1"/>
      <c r="P10" s="345" t="s">
        <v>71</v>
      </c>
      <c r="Q10" s="337">
        <v>40</v>
      </c>
    </row>
    <row r="11" spans="2:17" x14ac:dyDescent="0.25">
      <c r="B11" s="50"/>
      <c r="C11" s="281"/>
      <c r="D11" s="281"/>
      <c r="E11" s="281"/>
      <c r="F11" s="281"/>
      <c r="G11" s="50"/>
      <c r="H11" s="351" t="s">
        <v>136</v>
      </c>
      <c r="I11" s="352" t="s">
        <v>152</v>
      </c>
      <c r="J11" s="353">
        <v>13</v>
      </c>
      <c r="L11" s="336">
        <v>27</v>
      </c>
      <c r="M11" s="337">
        <v>20</v>
      </c>
      <c r="N11" s="338">
        <v>54</v>
      </c>
      <c r="O11" s="1"/>
      <c r="P11" s="345" t="s">
        <v>71</v>
      </c>
      <c r="Q11" s="337">
        <v>27</v>
      </c>
    </row>
    <row r="12" spans="2:17" x14ac:dyDescent="0.25">
      <c r="B12" s="50"/>
      <c r="C12" s="50"/>
      <c r="D12" s="50"/>
      <c r="E12" s="50"/>
      <c r="F12" s="50"/>
      <c r="G12" s="50"/>
      <c r="H12" s="351" t="s">
        <v>136</v>
      </c>
      <c r="I12" s="352" t="s">
        <v>153</v>
      </c>
      <c r="J12" s="353">
        <v>13</v>
      </c>
      <c r="L12" s="336">
        <v>36</v>
      </c>
      <c r="M12" s="337">
        <v>40</v>
      </c>
      <c r="N12" s="338">
        <v>47</v>
      </c>
      <c r="O12" s="1"/>
      <c r="P12" s="345" t="s">
        <v>71</v>
      </c>
      <c r="Q12" s="337">
        <v>36</v>
      </c>
    </row>
    <row r="13" spans="2:17" x14ac:dyDescent="0.25">
      <c r="B13" s="50"/>
      <c r="C13" s="50"/>
      <c r="D13" s="50"/>
      <c r="E13" s="50"/>
      <c r="F13" s="50"/>
      <c r="G13" s="50"/>
      <c r="H13" s="351" t="s">
        <v>136</v>
      </c>
      <c r="I13" s="352" t="s">
        <v>154</v>
      </c>
      <c r="J13" s="353">
        <v>50</v>
      </c>
      <c r="L13" s="336">
        <v>51</v>
      </c>
      <c r="M13" s="337">
        <v>37</v>
      </c>
      <c r="N13" s="338">
        <v>50</v>
      </c>
      <c r="O13" s="1"/>
      <c r="P13" s="345" t="s">
        <v>71</v>
      </c>
      <c r="Q13" s="337">
        <v>51</v>
      </c>
    </row>
    <row r="14" spans="2:17" x14ac:dyDescent="0.25">
      <c r="B14" s="50"/>
      <c r="C14" s="50"/>
      <c r="D14" s="50"/>
      <c r="E14" s="50"/>
      <c r="F14" s="50"/>
      <c r="G14" s="50"/>
      <c r="H14" s="351" t="s">
        <v>137</v>
      </c>
      <c r="I14" s="352" t="s">
        <v>151</v>
      </c>
      <c r="J14" s="353">
        <v>20</v>
      </c>
      <c r="K14" s="74"/>
      <c r="L14" s="340">
        <v>38</v>
      </c>
      <c r="M14" s="341">
        <v>29</v>
      </c>
      <c r="N14" s="342">
        <v>43</v>
      </c>
      <c r="O14" s="1"/>
      <c r="P14" s="345" t="s">
        <v>71</v>
      </c>
      <c r="Q14" s="337">
        <v>38</v>
      </c>
    </row>
    <row r="15" spans="2:17" ht="14.25" customHeight="1" x14ac:dyDescent="0.25">
      <c r="B15" s="252"/>
      <c r="C15" s="252"/>
      <c r="D15" s="252"/>
      <c r="E15" s="252"/>
      <c r="F15" s="252"/>
      <c r="G15" s="252"/>
      <c r="H15" s="351" t="s">
        <v>137</v>
      </c>
      <c r="I15" s="352" t="s">
        <v>152</v>
      </c>
      <c r="J15" s="353">
        <v>24</v>
      </c>
      <c r="L15" s="1"/>
      <c r="M15" s="1"/>
      <c r="N15" s="1"/>
      <c r="O15" s="1"/>
      <c r="P15" s="345" t="s">
        <v>72</v>
      </c>
      <c r="Q15" s="337">
        <v>28</v>
      </c>
    </row>
    <row r="16" spans="2:17" ht="14.25" x14ac:dyDescent="0.25">
      <c r="B16" s="252"/>
      <c r="C16" s="252"/>
      <c r="D16" s="252"/>
      <c r="E16" s="252"/>
      <c r="F16" s="252"/>
      <c r="G16" s="252"/>
      <c r="H16" s="351" t="s">
        <v>137</v>
      </c>
      <c r="I16" s="352" t="s">
        <v>153</v>
      </c>
      <c r="J16" s="353">
        <v>22</v>
      </c>
      <c r="L16" s="1"/>
      <c r="M16" s="1"/>
      <c r="N16" s="1"/>
      <c r="O16" s="1"/>
      <c r="P16" s="345" t="s">
        <v>72</v>
      </c>
      <c r="Q16" s="337">
        <v>23</v>
      </c>
    </row>
    <row r="17" spans="2:17" x14ac:dyDescent="0.25">
      <c r="B17" s="350"/>
      <c r="C17" s="50"/>
      <c r="D17" s="281"/>
      <c r="E17" s="50"/>
      <c r="F17" s="50"/>
      <c r="G17" s="50"/>
      <c r="H17" s="351" t="s">
        <v>137</v>
      </c>
      <c r="I17" s="352" t="s">
        <v>154</v>
      </c>
      <c r="J17" s="353">
        <v>39</v>
      </c>
      <c r="L17" s="1"/>
      <c r="M17" s="1"/>
      <c r="N17" s="1"/>
      <c r="O17" s="1"/>
      <c r="P17" s="345" t="s">
        <v>72</v>
      </c>
      <c r="Q17" s="337">
        <v>33</v>
      </c>
    </row>
    <row r="18" spans="2:17" x14ac:dyDescent="0.25">
      <c r="B18" s="350"/>
      <c r="C18" s="50"/>
      <c r="D18" s="281"/>
      <c r="E18" s="50"/>
      <c r="F18" s="50"/>
      <c r="G18" s="50"/>
      <c r="H18" s="351" t="s">
        <v>143</v>
      </c>
      <c r="I18" s="352" t="s">
        <v>151</v>
      </c>
      <c r="J18" s="353">
        <v>36</v>
      </c>
      <c r="L18" s="1"/>
      <c r="M18" s="1"/>
      <c r="N18" s="1"/>
      <c r="O18" s="1"/>
      <c r="P18" s="345" t="s">
        <v>72</v>
      </c>
      <c r="Q18" s="337">
        <v>49</v>
      </c>
    </row>
    <row r="19" spans="2:17" x14ac:dyDescent="0.25">
      <c r="B19" s="350"/>
      <c r="C19" s="50"/>
      <c r="D19" s="281"/>
      <c r="E19" s="50"/>
      <c r="F19" s="50"/>
      <c r="G19" s="50"/>
      <c r="H19" s="351" t="s">
        <v>143</v>
      </c>
      <c r="I19" s="352" t="s">
        <v>152</v>
      </c>
      <c r="J19" s="353">
        <v>37</v>
      </c>
      <c r="L19" s="1"/>
      <c r="M19" s="1"/>
      <c r="N19" s="1"/>
      <c r="O19" s="1"/>
      <c r="P19" s="345" t="s">
        <v>72</v>
      </c>
      <c r="Q19" s="337">
        <v>35</v>
      </c>
    </row>
    <row r="20" spans="2:17" x14ac:dyDescent="0.25">
      <c r="B20" s="350"/>
      <c r="C20" s="50"/>
      <c r="D20" s="281"/>
      <c r="E20" s="50"/>
      <c r="F20" s="50"/>
      <c r="G20" s="50"/>
      <c r="H20" s="351" t="s">
        <v>143</v>
      </c>
      <c r="I20" s="352" t="s">
        <v>153</v>
      </c>
      <c r="J20" s="353">
        <v>41</v>
      </c>
      <c r="L20" s="1"/>
      <c r="M20" s="1"/>
      <c r="N20" s="1"/>
      <c r="O20" s="1"/>
      <c r="P20" s="345" t="s">
        <v>72</v>
      </c>
      <c r="Q20" s="337">
        <v>20</v>
      </c>
    </row>
    <row r="21" spans="2:17" x14ac:dyDescent="0.25">
      <c r="B21" s="350"/>
      <c r="C21" s="50"/>
      <c r="D21" s="281"/>
      <c r="E21" s="50"/>
      <c r="F21" s="50"/>
      <c r="G21" s="50"/>
      <c r="H21" s="357" t="s">
        <v>143</v>
      </c>
      <c r="I21" s="358" t="s">
        <v>154</v>
      </c>
      <c r="J21" s="359">
        <v>76</v>
      </c>
      <c r="L21" s="1"/>
      <c r="M21" s="1"/>
      <c r="N21" s="1"/>
      <c r="O21" s="1"/>
      <c r="P21" s="345" t="s">
        <v>72</v>
      </c>
      <c r="Q21" s="337">
        <v>40</v>
      </c>
    </row>
    <row r="22" spans="2:17" x14ac:dyDescent="0.25">
      <c r="B22" s="350"/>
      <c r="C22" s="50"/>
      <c r="D22" s="281"/>
      <c r="E22" s="50"/>
      <c r="F22" s="50"/>
      <c r="G22" s="50"/>
      <c r="H22" s="360"/>
      <c r="I22" s="50"/>
      <c r="J22" s="50"/>
      <c r="L22" s="1"/>
      <c r="M22" s="1"/>
      <c r="N22" s="1"/>
      <c r="O22" s="1"/>
      <c r="P22" s="345" t="s">
        <v>72</v>
      </c>
      <c r="Q22" s="337">
        <v>37</v>
      </c>
    </row>
    <row r="23" spans="2:17" x14ac:dyDescent="0.25">
      <c r="B23" s="331"/>
      <c r="D23" s="332"/>
      <c r="H23" s="74"/>
      <c r="L23" s="1"/>
      <c r="M23" s="1"/>
      <c r="N23" s="1"/>
      <c r="O23" s="1"/>
      <c r="P23" s="345" t="s">
        <v>72</v>
      </c>
      <c r="Q23" s="337">
        <v>29</v>
      </c>
    </row>
    <row r="24" spans="2:17" x14ac:dyDescent="0.25">
      <c r="B24" s="331"/>
      <c r="D24" s="332"/>
      <c r="H24" s="74"/>
      <c r="L24" s="1"/>
      <c r="M24" s="1"/>
      <c r="N24" s="1"/>
      <c r="O24" s="1"/>
      <c r="P24" s="345" t="s">
        <v>88</v>
      </c>
      <c r="Q24" s="337">
        <v>38</v>
      </c>
    </row>
    <row r="25" spans="2:17" x14ac:dyDescent="0.25">
      <c r="B25" s="331"/>
      <c r="D25" s="332"/>
      <c r="H25" s="74"/>
      <c r="L25" s="1"/>
      <c r="M25" s="1"/>
      <c r="N25" s="1"/>
      <c r="O25" s="1"/>
      <c r="P25" s="345" t="s">
        <v>88</v>
      </c>
      <c r="Q25" s="337">
        <v>34</v>
      </c>
    </row>
    <row r="26" spans="2:17" x14ac:dyDescent="0.25">
      <c r="B26" s="331"/>
      <c r="D26" s="332"/>
      <c r="H26" s="74"/>
      <c r="I26" s="74"/>
      <c r="J26" s="74"/>
      <c r="K26" s="74"/>
      <c r="L26" s="1"/>
      <c r="M26" s="1"/>
      <c r="N26" s="1"/>
      <c r="O26" s="1"/>
      <c r="P26" s="345" t="s">
        <v>88</v>
      </c>
      <c r="Q26" s="337">
        <v>62</v>
      </c>
    </row>
    <row r="27" spans="2:17" x14ac:dyDescent="0.25">
      <c r="B27" s="331"/>
      <c r="D27" s="332"/>
      <c r="H27" s="74"/>
      <c r="I27" s="74"/>
      <c r="J27" s="74"/>
      <c r="K27" s="74"/>
      <c r="L27" s="1"/>
      <c r="M27" s="1"/>
      <c r="N27" s="1"/>
      <c r="O27" s="1"/>
      <c r="P27" s="345" t="s">
        <v>88</v>
      </c>
      <c r="Q27" s="337">
        <v>25</v>
      </c>
    </row>
    <row r="28" spans="2:17" ht="14.25" x14ac:dyDescent="0.3">
      <c r="B28" s="331"/>
      <c r="C28" s="529"/>
      <c r="D28" s="529"/>
      <c r="E28" s="529"/>
      <c r="F28" s="74"/>
      <c r="G28" s="74"/>
      <c r="H28" s="529"/>
      <c r="I28" s="529"/>
      <c r="J28" s="74"/>
      <c r="K28" s="74"/>
      <c r="L28" s="1"/>
      <c r="M28" s="1"/>
      <c r="N28" s="1"/>
      <c r="O28" s="1"/>
      <c r="P28" s="345" t="s">
        <v>88</v>
      </c>
      <c r="Q28" s="337">
        <v>51</v>
      </c>
    </row>
    <row r="29" spans="2:17" ht="14.25" x14ac:dyDescent="0.3">
      <c r="B29" s="331"/>
      <c r="C29" s="334"/>
      <c r="D29" s="334"/>
      <c r="E29" s="334"/>
      <c r="F29" s="74"/>
      <c r="G29" s="74"/>
      <c r="H29" s="347"/>
      <c r="I29" s="334"/>
      <c r="J29" s="333"/>
      <c r="K29" s="333"/>
      <c r="L29" s="1"/>
      <c r="M29" s="1"/>
      <c r="N29" s="1"/>
      <c r="O29" s="1"/>
      <c r="P29" s="345" t="s">
        <v>88</v>
      </c>
      <c r="Q29" s="337">
        <v>54</v>
      </c>
    </row>
    <row r="30" spans="2:17" x14ac:dyDescent="0.25">
      <c r="B30" s="331"/>
      <c r="C30" s="348"/>
      <c r="D30" s="348"/>
      <c r="E30" s="348"/>
      <c r="F30" s="116"/>
      <c r="G30" s="116"/>
      <c r="H30" s="349"/>
      <c r="I30" s="348"/>
      <c r="J30" s="333"/>
      <c r="K30" s="333"/>
      <c r="L30" s="1"/>
      <c r="M30" s="1"/>
      <c r="N30" s="1"/>
      <c r="O30" s="1"/>
      <c r="P30" s="345" t="s">
        <v>88</v>
      </c>
      <c r="Q30" s="337">
        <v>47</v>
      </c>
    </row>
    <row r="31" spans="2:17" x14ac:dyDescent="0.25">
      <c r="B31" s="331"/>
      <c r="C31" s="348"/>
      <c r="D31" s="348"/>
      <c r="E31" s="348"/>
      <c r="F31" s="116"/>
      <c r="G31" s="116"/>
      <c r="H31" s="349"/>
      <c r="I31" s="348"/>
      <c r="J31" s="333"/>
      <c r="K31" s="333"/>
      <c r="L31" s="1"/>
      <c r="M31" s="1"/>
      <c r="N31" s="1"/>
      <c r="O31" s="1"/>
      <c r="P31" s="345" t="s">
        <v>88</v>
      </c>
      <c r="Q31" s="337">
        <v>50</v>
      </c>
    </row>
    <row r="32" spans="2:17" x14ac:dyDescent="0.25">
      <c r="B32" s="331"/>
      <c r="C32" s="348"/>
      <c r="D32" s="348"/>
      <c r="E32" s="348"/>
      <c r="F32" s="116"/>
      <c r="G32" s="116"/>
      <c r="H32" s="349"/>
      <c r="I32" s="348"/>
      <c r="J32" s="333"/>
      <c r="K32" s="333"/>
      <c r="L32" s="1"/>
      <c r="M32" s="1"/>
      <c r="N32" s="1"/>
      <c r="O32" s="1"/>
      <c r="P32" s="346" t="s">
        <v>88</v>
      </c>
      <c r="Q32" s="341">
        <v>43</v>
      </c>
    </row>
    <row r="33" spans="3:12" x14ac:dyDescent="0.25">
      <c r="C33" s="348"/>
      <c r="D33" s="348"/>
      <c r="E33" s="348"/>
      <c r="F33" s="116"/>
      <c r="G33" s="116"/>
      <c r="H33" s="349"/>
      <c r="I33" s="348"/>
      <c r="J33" s="333"/>
      <c r="K33" s="333"/>
      <c r="L33" s="74"/>
    </row>
    <row r="34" spans="3:12" x14ac:dyDescent="0.25">
      <c r="C34" s="348"/>
      <c r="D34" s="348"/>
      <c r="E34" s="348"/>
      <c r="F34" s="116"/>
      <c r="G34" s="116"/>
      <c r="H34" s="349"/>
      <c r="I34" s="348"/>
      <c r="J34" s="333"/>
      <c r="K34" s="333"/>
      <c r="L34" s="74"/>
    </row>
    <row r="35" spans="3:12" x14ac:dyDescent="0.25">
      <c r="C35" s="348"/>
      <c r="D35" s="348"/>
      <c r="E35" s="348"/>
      <c r="F35" s="116"/>
      <c r="G35" s="116"/>
      <c r="H35" s="349"/>
      <c r="I35" s="348"/>
      <c r="J35" s="333"/>
      <c r="K35" s="333"/>
      <c r="L35" s="74"/>
    </row>
    <row r="36" spans="3:12" x14ac:dyDescent="0.25">
      <c r="C36" s="348"/>
      <c r="D36" s="348"/>
      <c r="E36" s="348"/>
      <c r="F36" s="116"/>
      <c r="G36" s="116"/>
      <c r="H36" s="349"/>
      <c r="I36" s="348"/>
      <c r="J36" s="333"/>
      <c r="K36" s="333"/>
      <c r="L36" s="74"/>
    </row>
    <row r="37" spans="3:12" x14ac:dyDescent="0.25">
      <c r="C37" s="348"/>
      <c r="D37" s="348"/>
      <c r="E37" s="348"/>
      <c r="F37" s="116"/>
      <c r="G37" s="116"/>
      <c r="H37" s="349"/>
      <c r="I37" s="348"/>
      <c r="J37" s="333"/>
      <c r="K37" s="333"/>
      <c r="L37" s="74"/>
    </row>
    <row r="38" spans="3:12" x14ac:dyDescent="0.25">
      <c r="C38" s="348"/>
      <c r="D38" s="348"/>
      <c r="E38" s="348"/>
      <c r="F38" s="116"/>
      <c r="G38" s="116"/>
      <c r="H38" s="349"/>
      <c r="I38" s="348"/>
      <c r="J38" s="333"/>
      <c r="K38" s="333"/>
      <c r="L38" s="74"/>
    </row>
    <row r="39" spans="3:12" x14ac:dyDescent="0.25">
      <c r="C39" s="116"/>
      <c r="D39" s="116"/>
      <c r="E39" s="116"/>
      <c r="F39" s="116"/>
      <c r="G39" s="116"/>
      <c r="H39" s="349"/>
      <c r="I39" s="348"/>
      <c r="J39" s="74"/>
      <c r="K39" s="74"/>
      <c r="L39" s="74"/>
    </row>
    <row r="40" spans="3:12" x14ac:dyDescent="0.25">
      <c r="C40" s="116"/>
      <c r="D40" s="116"/>
      <c r="E40" s="116"/>
      <c r="F40" s="116"/>
      <c r="G40" s="116"/>
      <c r="H40" s="349"/>
      <c r="I40" s="348"/>
      <c r="J40" s="74"/>
      <c r="K40" s="74"/>
      <c r="L40" s="74"/>
    </row>
    <row r="41" spans="3:12" x14ac:dyDescent="0.25">
      <c r="C41" s="116"/>
      <c r="D41" s="116"/>
      <c r="E41" s="116"/>
      <c r="F41" s="116"/>
      <c r="G41" s="116"/>
      <c r="H41" s="349"/>
      <c r="I41" s="348"/>
      <c r="J41" s="74"/>
      <c r="K41" s="74"/>
      <c r="L41" s="74"/>
    </row>
    <row r="42" spans="3:12" x14ac:dyDescent="0.25">
      <c r="C42" s="116"/>
      <c r="D42" s="116"/>
      <c r="E42" s="116"/>
      <c r="F42" s="116"/>
      <c r="G42" s="116"/>
      <c r="H42" s="349"/>
      <c r="I42" s="348"/>
      <c r="J42" s="74"/>
      <c r="K42" s="74"/>
      <c r="L42" s="74"/>
    </row>
    <row r="43" spans="3:12" x14ac:dyDescent="0.25">
      <c r="C43" s="116"/>
      <c r="D43" s="116"/>
      <c r="E43" s="116"/>
      <c r="F43" s="116"/>
      <c r="G43" s="116"/>
      <c r="H43" s="349"/>
      <c r="I43" s="348"/>
      <c r="J43" s="74"/>
      <c r="K43" s="74"/>
      <c r="L43" s="74"/>
    </row>
    <row r="44" spans="3:12" x14ac:dyDescent="0.25">
      <c r="C44" s="116"/>
      <c r="D44" s="116"/>
      <c r="E44" s="116"/>
      <c r="F44" s="116"/>
      <c r="G44" s="116"/>
      <c r="H44" s="349"/>
      <c r="I44" s="348"/>
      <c r="J44" s="74"/>
      <c r="K44" s="74"/>
      <c r="L44" s="74"/>
    </row>
    <row r="45" spans="3:12" x14ac:dyDescent="0.25">
      <c r="C45" s="116"/>
      <c r="D45" s="116"/>
      <c r="E45" s="116"/>
      <c r="F45" s="116"/>
      <c r="G45" s="116"/>
      <c r="H45" s="349"/>
      <c r="I45" s="348"/>
      <c r="J45" s="74"/>
      <c r="K45" s="74"/>
      <c r="L45" s="74"/>
    </row>
    <row r="46" spans="3:12" x14ac:dyDescent="0.25">
      <c r="C46" s="116"/>
      <c r="D46" s="116"/>
      <c r="E46" s="116"/>
      <c r="F46" s="116"/>
      <c r="G46" s="116"/>
      <c r="H46" s="349"/>
      <c r="I46" s="348"/>
      <c r="J46" s="74"/>
      <c r="K46" s="74"/>
      <c r="L46" s="74"/>
    </row>
    <row r="47" spans="3:12" x14ac:dyDescent="0.25">
      <c r="C47" s="116"/>
      <c r="D47" s="116"/>
      <c r="E47" s="116"/>
      <c r="F47" s="116"/>
      <c r="G47" s="116"/>
      <c r="H47" s="349"/>
      <c r="I47" s="348"/>
      <c r="J47" s="74"/>
      <c r="K47" s="74"/>
      <c r="L47" s="74"/>
    </row>
    <row r="48" spans="3:12" x14ac:dyDescent="0.25">
      <c r="C48" s="116"/>
      <c r="D48" s="116"/>
      <c r="E48" s="116"/>
      <c r="F48" s="116"/>
      <c r="G48" s="116"/>
      <c r="H48" s="349"/>
      <c r="I48" s="348"/>
      <c r="J48" s="74"/>
      <c r="K48" s="74"/>
      <c r="L48" s="74"/>
    </row>
    <row r="49" spans="3:12" x14ac:dyDescent="0.25">
      <c r="C49" s="116"/>
      <c r="D49" s="116"/>
      <c r="E49" s="116"/>
      <c r="F49" s="116"/>
      <c r="G49" s="116"/>
      <c r="H49" s="349"/>
      <c r="I49" s="348"/>
      <c r="J49" s="74"/>
      <c r="K49" s="74"/>
      <c r="L49" s="74"/>
    </row>
    <row r="50" spans="3:12" x14ac:dyDescent="0.25">
      <c r="C50" s="116"/>
      <c r="D50" s="116"/>
      <c r="E50" s="116"/>
      <c r="F50" s="116"/>
      <c r="G50" s="116"/>
      <c r="H50" s="349"/>
      <c r="I50" s="348"/>
      <c r="J50" s="74"/>
      <c r="K50" s="74"/>
      <c r="L50" s="74"/>
    </row>
    <row r="51" spans="3:12" x14ac:dyDescent="0.25">
      <c r="C51" s="116"/>
      <c r="D51" s="116"/>
      <c r="E51" s="116"/>
      <c r="F51" s="116"/>
      <c r="G51" s="116"/>
      <c r="H51" s="349"/>
      <c r="I51" s="348"/>
      <c r="J51" s="74"/>
      <c r="K51" s="74"/>
      <c r="L51" s="74"/>
    </row>
    <row r="52" spans="3:12" x14ac:dyDescent="0.25">
      <c r="C52" s="116"/>
      <c r="D52" s="116"/>
      <c r="E52" s="116"/>
      <c r="F52" s="116"/>
      <c r="G52" s="116"/>
      <c r="H52" s="349"/>
      <c r="I52" s="348"/>
      <c r="J52" s="74"/>
      <c r="K52" s="74"/>
      <c r="L52" s="74"/>
    </row>
    <row r="53" spans="3:12" x14ac:dyDescent="0.25">
      <c r="C53" s="116"/>
      <c r="D53" s="116"/>
      <c r="E53" s="116"/>
      <c r="F53" s="116"/>
      <c r="G53" s="116"/>
      <c r="H53" s="349"/>
      <c r="I53" s="348"/>
      <c r="J53" s="74"/>
      <c r="K53" s="74"/>
      <c r="L53" s="74"/>
    </row>
    <row r="54" spans="3:12" x14ac:dyDescent="0.25">
      <c r="C54" s="116"/>
      <c r="D54" s="116"/>
      <c r="E54" s="116"/>
      <c r="F54" s="116"/>
      <c r="G54" s="116"/>
      <c r="H54" s="349"/>
      <c r="I54" s="348"/>
      <c r="J54" s="74"/>
      <c r="K54" s="74"/>
      <c r="L54" s="74"/>
    </row>
    <row r="55" spans="3:12" x14ac:dyDescent="0.25">
      <c r="C55" s="116"/>
      <c r="D55" s="116"/>
      <c r="E55" s="116"/>
      <c r="F55" s="116"/>
      <c r="G55" s="116"/>
      <c r="H55" s="349"/>
      <c r="I55" s="348"/>
      <c r="J55" s="74"/>
      <c r="K55" s="74"/>
      <c r="L55" s="74"/>
    </row>
    <row r="56" spans="3:12" x14ac:dyDescent="0.25">
      <c r="C56" s="116"/>
      <c r="D56" s="116"/>
      <c r="E56" s="116"/>
      <c r="F56" s="116"/>
      <c r="G56" s="116"/>
      <c r="H56" s="349"/>
      <c r="I56" s="348"/>
      <c r="J56" s="74"/>
      <c r="K56" s="74"/>
      <c r="L56" s="74"/>
    </row>
    <row r="57" spans="3:12" x14ac:dyDescent="0.25">
      <c r="C57" s="74"/>
      <c r="D57" s="74"/>
      <c r="E57" s="74"/>
      <c r="F57" s="74"/>
      <c r="G57" s="74"/>
      <c r="H57" s="74"/>
      <c r="I57" s="74"/>
      <c r="J57" s="74"/>
      <c r="K57" s="74"/>
      <c r="L57" s="74"/>
    </row>
    <row r="58" spans="3:12" x14ac:dyDescent="0.25">
      <c r="C58" s="74"/>
      <c r="D58" s="74"/>
      <c r="E58" s="74"/>
      <c r="F58" s="74"/>
      <c r="G58" s="74"/>
      <c r="H58" s="74"/>
      <c r="I58" s="74"/>
      <c r="J58" s="74"/>
      <c r="K58" s="74"/>
      <c r="L58" s="74"/>
    </row>
  </sheetData>
  <mergeCells count="6">
    <mergeCell ref="L4:N4"/>
    <mergeCell ref="P4:Q4"/>
    <mergeCell ref="H28:I28"/>
    <mergeCell ref="H4:J4"/>
    <mergeCell ref="C28:E28"/>
    <mergeCell ref="B4:F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Z67"/>
  <sheetViews>
    <sheetView showGridLines="0" workbookViewId="0">
      <selection activeCell="O8" sqref="O8"/>
    </sheetView>
  </sheetViews>
  <sheetFormatPr defaultRowHeight="12.75" x14ac:dyDescent="0.25"/>
  <cols>
    <col min="2" max="2" width="16.42578125" bestFit="1" customWidth="1"/>
    <col min="26" max="26" width="78.5703125" customWidth="1"/>
  </cols>
  <sheetData>
    <row r="2" spans="2:16" ht="14.25" x14ac:dyDescent="0.3">
      <c r="B2" s="507" t="s">
        <v>222</v>
      </c>
      <c r="C2" s="507"/>
      <c r="F2" s="507" t="s">
        <v>222</v>
      </c>
      <c r="G2" s="507"/>
      <c r="H2" s="507"/>
      <c r="I2" s="507"/>
      <c r="J2" s="507"/>
      <c r="K2" s="507"/>
      <c r="L2" s="507"/>
      <c r="N2" s="487"/>
      <c r="O2" s="533"/>
      <c r="P2" s="488"/>
    </row>
    <row r="3" spans="2:16" ht="14.25" x14ac:dyDescent="0.3">
      <c r="B3" s="186" t="s">
        <v>223</v>
      </c>
      <c r="C3" s="186" t="s">
        <v>248</v>
      </c>
      <c r="F3" s="386" t="s">
        <v>162</v>
      </c>
      <c r="G3" s="186" t="s">
        <v>207</v>
      </c>
      <c r="H3" s="186" t="s">
        <v>208</v>
      </c>
      <c r="I3" s="186" t="s">
        <v>255</v>
      </c>
      <c r="J3" s="186" t="s">
        <v>256</v>
      </c>
      <c r="K3" s="365" t="s">
        <v>257</v>
      </c>
      <c r="L3" s="365" t="s">
        <v>258</v>
      </c>
      <c r="N3" s="386" t="s">
        <v>162</v>
      </c>
      <c r="O3" s="186" t="s">
        <v>261</v>
      </c>
      <c r="P3" s="186" t="s">
        <v>262</v>
      </c>
    </row>
    <row r="4" spans="2:16" ht="14.25" x14ac:dyDescent="0.3">
      <c r="B4" s="115" t="s">
        <v>224</v>
      </c>
      <c r="C4" s="115" t="s">
        <v>224</v>
      </c>
      <c r="F4" s="387" t="s">
        <v>207</v>
      </c>
      <c r="G4" s="160">
        <v>1</v>
      </c>
      <c r="H4" s="376">
        <v>0.83899999999999997</v>
      </c>
      <c r="I4" s="376">
        <v>0.71</v>
      </c>
      <c r="J4" s="161">
        <v>-9.2999999999999999E-2</v>
      </c>
      <c r="K4" s="373">
        <v>2.7799999999999998E-2</v>
      </c>
      <c r="L4" s="373">
        <v>-5.7000000000000002E-2</v>
      </c>
      <c r="N4" s="387" t="s">
        <v>207</v>
      </c>
      <c r="O4" s="169">
        <f>AVERAGE(G5:G6)</f>
        <v>0.77449999999999997</v>
      </c>
      <c r="P4" s="383">
        <f>AVERAGE(J4:L4)</f>
        <v>-4.0733333333333337E-2</v>
      </c>
    </row>
    <row r="5" spans="2:16" ht="14.25" x14ac:dyDescent="0.3">
      <c r="B5" s="135" t="s">
        <v>225</v>
      </c>
      <c r="C5" s="135" t="s">
        <v>225</v>
      </c>
      <c r="F5" s="388" t="s">
        <v>208</v>
      </c>
      <c r="G5" s="384">
        <v>0.83899999999999997</v>
      </c>
      <c r="H5" s="392">
        <v>1</v>
      </c>
      <c r="I5" s="377">
        <v>0.73899999999999999</v>
      </c>
      <c r="J5" s="161">
        <v>4.2000000000000003E-2</v>
      </c>
      <c r="K5" s="374">
        <v>5.6000000000000001E-2</v>
      </c>
      <c r="L5" s="374">
        <v>-2.5000000000000001E-2</v>
      </c>
      <c r="N5" s="388" t="s">
        <v>208</v>
      </c>
      <c r="O5" s="384">
        <f>(H4+H6)/2</f>
        <v>0.78899999999999992</v>
      </c>
      <c r="P5" s="379">
        <f>AVERAGE(J5:L5)</f>
        <v>2.4333333333333335E-2</v>
      </c>
    </row>
    <row r="6" spans="2:16" ht="14.25" x14ac:dyDescent="0.3">
      <c r="B6" s="135" t="s">
        <v>238</v>
      </c>
      <c r="C6" s="135" t="s">
        <v>249</v>
      </c>
      <c r="F6" s="388" t="s">
        <v>255</v>
      </c>
      <c r="G6" s="384">
        <v>0.71</v>
      </c>
      <c r="H6" s="377">
        <v>0.73899999999999999</v>
      </c>
      <c r="I6" s="374">
        <v>1</v>
      </c>
      <c r="J6" s="161">
        <v>-0.32</v>
      </c>
      <c r="K6" s="374">
        <v>-9.1999999999999998E-2</v>
      </c>
      <c r="L6" s="374">
        <v>1.9E-2</v>
      </c>
      <c r="N6" s="388" t="s">
        <v>255</v>
      </c>
      <c r="O6" s="384">
        <f>(I4+I5)/2</f>
        <v>0.72449999999999992</v>
      </c>
      <c r="P6" s="379">
        <f>AVERAGE(J6:L6)</f>
        <v>-0.13100000000000001</v>
      </c>
    </row>
    <row r="7" spans="2:16" ht="14.25" x14ac:dyDescent="0.3">
      <c r="B7" s="135" t="s">
        <v>226</v>
      </c>
      <c r="C7" s="135" t="s">
        <v>250</v>
      </c>
      <c r="F7" s="388" t="s">
        <v>256</v>
      </c>
      <c r="G7" s="145">
        <v>-9.2999999999999999E-2</v>
      </c>
      <c r="H7" s="161">
        <v>4.2000000000000003E-2</v>
      </c>
      <c r="I7" s="374">
        <v>-0.32</v>
      </c>
      <c r="J7" s="144">
        <v>1</v>
      </c>
      <c r="K7" s="379">
        <v>0.69199999999999995</v>
      </c>
      <c r="L7" s="379">
        <v>0.59799999999999998</v>
      </c>
      <c r="N7" s="388" t="s">
        <v>256</v>
      </c>
      <c r="O7" s="384">
        <f>AVERAGE(G7:I7)</f>
        <v>-0.12366666666666666</v>
      </c>
      <c r="P7" s="379">
        <f>AVERAGE(K7:L7)</f>
        <v>0.64500000000000002</v>
      </c>
    </row>
    <row r="8" spans="2:16" ht="14.25" x14ac:dyDescent="0.3">
      <c r="B8" s="135" t="s">
        <v>227</v>
      </c>
      <c r="C8" s="135" t="s">
        <v>254</v>
      </c>
      <c r="F8" s="388" t="s">
        <v>257</v>
      </c>
      <c r="G8" s="145">
        <v>2.7799999999999998E-2</v>
      </c>
      <c r="H8" s="161">
        <v>5.6000000000000001E-2</v>
      </c>
      <c r="I8" s="374">
        <v>-9.1999999999999998E-2</v>
      </c>
      <c r="J8" s="378">
        <v>0.69199999999999995</v>
      </c>
      <c r="K8" s="393">
        <v>1</v>
      </c>
      <c r="L8" s="379">
        <v>0.70199999999999996</v>
      </c>
      <c r="N8" s="388" t="s">
        <v>257</v>
      </c>
      <c r="O8" s="384">
        <f>AVERAGE(G8:I8)</f>
        <v>-2.7333333333333328E-3</v>
      </c>
      <c r="P8" s="379">
        <f>AVERAGE(J8,L8)</f>
        <v>0.69699999999999995</v>
      </c>
    </row>
    <row r="9" spans="2:16" ht="14.25" x14ac:dyDescent="0.3">
      <c r="B9" s="135" t="s">
        <v>228</v>
      </c>
      <c r="C9" s="135" t="s">
        <v>251</v>
      </c>
      <c r="F9" s="389" t="s">
        <v>258</v>
      </c>
      <c r="G9" s="147">
        <v>-5.7000000000000002E-2</v>
      </c>
      <c r="H9" s="162">
        <v>-2.5000000000000001E-2</v>
      </c>
      <c r="I9" s="375">
        <v>1.9E-2</v>
      </c>
      <c r="J9" s="380">
        <v>0.59799999999999998</v>
      </c>
      <c r="K9" s="381">
        <v>0.70199999999999996</v>
      </c>
      <c r="L9" s="375">
        <v>1</v>
      </c>
      <c r="N9" s="389" t="s">
        <v>258</v>
      </c>
      <c r="O9" s="385">
        <f>AVERAGE(G9:I9)</f>
        <v>-2.1000000000000001E-2</v>
      </c>
      <c r="P9" s="381">
        <f>AVERAGE(J9:K9)</f>
        <v>0.64999999999999991</v>
      </c>
    </row>
    <row r="10" spans="2:16" x14ac:dyDescent="0.25">
      <c r="B10" s="135" t="s">
        <v>229</v>
      </c>
      <c r="C10" s="135" t="s">
        <v>253</v>
      </c>
    </row>
    <row r="11" spans="2:16" x14ac:dyDescent="0.25">
      <c r="B11" s="135" t="s">
        <v>230</v>
      </c>
      <c r="C11" s="135" t="s">
        <v>252</v>
      </c>
    </row>
    <row r="12" spans="2:16" ht="14.25" x14ac:dyDescent="0.3">
      <c r="B12" s="135" t="s">
        <v>233</v>
      </c>
      <c r="C12" s="135" t="s">
        <v>242</v>
      </c>
      <c r="G12" s="382" t="s">
        <v>259</v>
      </c>
      <c r="H12" t="s">
        <v>260</v>
      </c>
    </row>
    <row r="13" spans="2:16" x14ac:dyDescent="0.25">
      <c r="B13" s="135" t="s">
        <v>239</v>
      </c>
      <c r="C13" s="185" t="s">
        <v>243</v>
      </c>
      <c r="F13" t="s">
        <v>207</v>
      </c>
    </row>
    <row r="14" spans="2:16" x14ac:dyDescent="0.25">
      <c r="B14" s="135" t="s">
        <v>234</v>
      </c>
      <c r="F14" t="s">
        <v>208</v>
      </c>
    </row>
    <row r="15" spans="2:16" x14ac:dyDescent="0.25">
      <c r="B15" s="135" t="s">
        <v>235</v>
      </c>
      <c r="F15" t="s">
        <v>255</v>
      </c>
    </row>
    <row r="16" spans="2:16" x14ac:dyDescent="0.25">
      <c r="B16" s="135" t="s">
        <v>236</v>
      </c>
      <c r="F16" t="s">
        <v>256</v>
      </c>
    </row>
    <row r="17" spans="2:26" x14ac:dyDescent="0.25">
      <c r="B17" s="135" t="s">
        <v>237</v>
      </c>
      <c r="F17" t="s">
        <v>257</v>
      </c>
    </row>
    <row r="18" spans="2:26" x14ac:dyDescent="0.25">
      <c r="B18" s="135" t="s">
        <v>231</v>
      </c>
      <c r="F18" t="s">
        <v>258</v>
      </c>
    </row>
    <row r="19" spans="2:26" x14ac:dyDescent="0.25">
      <c r="B19" s="135" t="s">
        <v>240</v>
      </c>
    </row>
    <row r="20" spans="2:26" x14ac:dyDescent="0.25">
      <c r="B20" s="135" t="s">
        <v>232</v>
      </c>
    </row>
    <row r="21" spans="2:26" x14ac:dyDescent="0.25">
      <c r="B21" s="135" t="s">
        <v>241</v>
      </c>
    </row>
    <row r="22" spans="2:26" x14ac:dyDescent="0.25">
      <c r="B22" s="135" t="s">
        <v>242</v>
      </c>
    </row>
    <row r="23" spans="2:26" x14ac:dyDescent="0.25">
      <c r="B23" s="135" t="s">
        <v>243</v>
      </c>
    </row>
    <row r="24" spans="2:26" x14ac:dyDescent="0.25">
      <c r="B24" s="135" t="s">
        <v>244</v>
      </c>
      <c r="H24">
        <f>0.487*0.487</f>
        <v>0.23716899999999999</v>
      </c>
    </row>
    <row r="25" spans="2:26" x14ac:dyDescent="0.25">
      <c r="B25" s="135" t="s">
        <v>245</v>
      </c>
    </row>
    <row r="26" spans="2:26" x14ac:dyDescent="0.25">
      <c r="B26" s="135" t="s">
        <v>246</v>
      </c>
    </row>
    <row r="27" spans="2:26" x14ac:dyDescent="0.25">
      <c r="B27" s="185" t="s">
        <v>247</v>
      </c>
    </row>
    <row r="32" spans="2:26" s="394" customFormat="1" ht="57" x14ac:dyDescent="0.25">
      <c r="G32" s="395" t="s">
        <v>263</v>
      </c>
      <c r="H32" s="395" t="s">
        <v>264</v>
      </c>
      <c r="I32" s="397" t="s">
        <v>265</v>
      </c>
      <c r="J32" s="395" t="s">
        <v>266</v>
      </c>
      <c r="Z32" s="534"/>
    </row>
    <row r="33" spans="7:26" x14ac:dyDescent="0.25">
      <c r="G33" s="108">
        <v>1</v>
      </c>
      <c r="H33" s="158">
        <v>2.3559999999999999</v>
      </c>
      <c r="I33" s="136">
        <f t="shared" ref="I33:I38" si="0">100*H33/$H$39</f>
        <v>45.386245424773641</v>
      </c>
      <c r="J33" s="136">
        <f>I33</f>
        <v>45.386245424773641</v>
      </c>
      <c r="Z33" s="534"/>
    </row>
    <row r="34" spans="7:26" x14ac:dyDescent="0.25">
      <c r="G34" s="109">
        <v>2</v>
      </c>
      <c r="H34" s="161">
        <v>2.1840000000000002</v>
      </c>
      <c r="I34" s="191">
        <f t="shared" si="0"/>
        <v>42.072818339433631</v>
      </c>
      <c r="J34" s="191">
        <f>I34+J33</f>
        <v>87.459063764207272</v>
      </c>
      <c r="Z34" s="534"/>
    </row>
    <row r="35" spans="7:26" x14ac:dyDescent="0.25">
      <c r="G35" s="109">
        <v>3</v>
      </c>
      <c r="H35" s="161">
        <v>0.20499999999999999</v>
      </c>
      <c r="I35" s="191">
        <f t="shared" si="0"/>
        <v>3.9491427470622225</v>
      </c>
      <c r="J35" s="191">
        <f>I35+J34</f>
        <v>91.408206511269498</v>
      </c>
      <c r="Z35" s="534"/>
    </row>
    <row r="36" spans="7:26" x14ac:dyDescent="0.25">
      <c r="G36" s="109">
        <v>4</v>
      </c>
      <c r="H36" s="161">
        <v>0.192</v>
      </c>
      <c r="I36" s="191">
        <f t="shared" si="0"/>
        <v>3.6987093045655937</v>
      </c>
      <c r="J36" s="191">
        <f>I36+J35</f>
        <v>95.106915815835094</v>
      </c>
      <c r="Z36" s="534"/>
    </row>
    <row r="37" spans="7:26" x14ac:dyDescent="0.25">
      <c r="G37" s="109">
        <v>5</v>
      </c>
      <c r="H37" s="161">
        <v>0.17299999999999999</v>
      </c>
      <c r="I37" s="191">
        <f t="shared" si="0"/>
        <v>3.3326911963012895</v>
      </c>
      <c r="J37" s="191">
        <f>I37+J36</f>
        <v>98.439607012136378</v>
      </c>
      <c r="Z37" s="534"/>
    </row>
    <row r="38" spans="7:26" x14ac:dyDescent="0.25">
      <c r="G38" s="110">
        <v>6</v>
      </c>
      <c r="H38" s="162">
        <v>8.1000000000000003E-2</v>
      </c>
      <c r="I38" s="396">
        <f t="shared" si="0"/>
        <v>1.5603929878636098</v>
      </c>
      <c r="J38" s="396">
        <f>I38+J37</f>
        <v>99.999999999999986</v>
      </c>
      <c r="Z38" s="534"/>
    </row>
    <row r="39" spans="7:26" x14ac:dyDescent="0.25">
      <c r="H39">
        <f>SUM(H33:H38)</f>
        <v>5.1910000000000007</v>
      </c>
    </row>
    <row r="50" spans="22:26" x14ac:dyDescent="0.25">
      <c r="V50" s="487"/>
      <c r="W50" s="533"/>
      <c r="X50" s="533"/>
      <c r="Y50" s="488"/>
      <c r="Z50" s="531"/>
    </row>
    <row r="51" spans="22:26" ht="43.5" customHeight="1" x14ac:dyDescent="0.25">
      <c r="V51" s="395" t="s">
        <v>263</v>
      </c>
      <c r="W51" s="395" t="s">
        <v>264</v>
      </c>
      <c r="X51" s="397" t="s">
        <v>265</v>
      </c>
      <c r="Y51" s="395" t="s">
        <v>266</v>
      </c>
      <c r="Z51" s="531"/>
    </row>
    <row r="52" spans="22:26" x14ac:dyDescent="0.25">
      <c r="V52" s="108">
        <v>1</v>
      </c>
      <c r="W52" s="158">
        <v>2.3559999999999999</v>
      </c>
      <c r="X52" s="136">
        <f t="shared" ref="X52:X57" si="1">100*W52/$H$39</f>
        <v>45.386245424773641</v>
      </c>
      <c r="Y52" s="136">
        <f>X52</f>
        <v>45.386245424773641</v>
      </c>
      <c r="Z52" s="531"/>
    </row>
    <row r="53" spans="22:26" x14ac:dyDescent="0.25">
      <c r="V53" s="109">
        <v>2</v>
      </c>
      <c r="W53" s="161">
        <v>2.1840000000000002</v>
      </c>
      <c r="X53" s="191">
        <f t="shared" si="1"/>
        <v>42.072818339433631</v>
      </c>
      <c r="Y53" s="191">
        <f>X53+Y52</f>
        <v>87.459063764207272</v>
      </c>
      <c r="Z53" s="531"/>
    </row>
    <row r="54" spans="22:26" x14ac:dyDescent="0.25">
      <c r="V54" s="109">
        <v>3</v>
      </c>
      <c r="W54" s="161">
        <v>0.20499999999999999</v>
      </c>
      <c r="X54" s="191">
        <f t="shared" si="1"/>
        <v>3.9491427470622225</v>
      </c>
      <c r="Y54" s="191">
        <f>X54+Y53</f>
        <v>91.408206511269498</v>
      </c>
      <c r="Z54" s="531"/>
    </row>
    <row r="55" spans="22:26" x14ac:dyDescent="0.25">
      <c r="V55" s="109">
        <v>4</v>
      </c>
      <c r="W55" s="161">
        <v>0.192</v>
      </c>
      <c r="X55" s="191">
        <f t="shared" si="1"/>
        <v>3.6987093045655937</v>
      </c>
      <c r="Y55" s="191">
        <f>X55+Y54</f>
        <v>95.106915815835094</v>
      </c>
      <c r="Z55" s="531"/>
    </row>
    <row r="56" spans="22:26" x14ac:dyDescent="0.25">
      <c r="V56" s="109">
        <v>5</v>
      </c>
      <c r="W56" s="161">
        <v>0.17299999999999999</v>
      </c>
      <c r="X56" s="191">
        <f t="shared" si="1"/>
        <v>3.3326911963012895</v>
      </c>
      <c r="Y56" s="191">
        <f>X56+Y55</f>
        <v>98.439607012136378</v>
      </c>
      <c r="Z56" s="531"/>
    </row>
    <row r="57" spans="22:26" x14ac:dyDescent="0.25">
      <c r="V57" s="110">
        <v>6</v>
      </c>
      <c r="W57" s="162">
        <v>8.1000000000000003E-2</v>
      </c>
      <c r="X57" s="396">
        <f t="shared" si="1"/>
        <v>1.5603929878636098</v>
      </c>
      <c r="Y57" s="396">
        <f>X57+Y56</f>
        <v>99.999999999999986</v>
      </c>
      <c r="Z57" s="531"/>
    </row>
    <row r="58" spans="22:26" x14ac:dyDescent="0.25">
      <c r="V58" s="530">
        <f>SUM(W52:W57)</f>
        <v>5.1910000000000007</v>
      </c>
      <c r="W58" s="530"/>
      <c r="X58" s="530"/>
      <c r="Y58" s="530"/>
      <c r="Z58" s="531"/>
    </row>
    <row r="59" spans="22:26" x14ac:dyDescent="0.25">
      <c r="V59" s="531"/>
      <c r="W59" s="531"/>
      <c r="X59" s="531"/>
      <c r="Y59" s="531"/>
      <c r="Z59" s="531"/>
    </row>
    <row r="60" spans="22:26" x14ac:dyDescent="0.25">
      <c r="V60" s="531"/>
      <c r="W60" s="531"/>
      <c r="X60" s="531"/>
      <c r="Y60" s="531"/>
      <c r="Z60" s="531"/>
    </row>
    <row r="61" spans="22:26" x14ac:dyDescent="0.25">
      <c r="V61" s="531"/>
      <c r="W61" s="531"/>
      <c r="X61" s="531"/>
      <c r="Y61" s="531"/>
      <c r="Z61" s="531"/>
    </row>
    <row r="62" spans="22:26" x14ac:dyDescent="0.25">
      <c r="V62" s="531"/>
      <c r="W62" s="531"/>
      <c r="X62" s="531"/>
      <c r="Y62" s="531"/>
      <c r="Z62" s="531"/>
    </row>
    <row r="63" spans="22:26" x14ac:dyDescent="0.25">
      <c r="V63" s="531"/>
      <c r="W63" s="531"/>
      <c r="X63" s="531"/>
      <c r="Y63" s="531"/>
      <c r="Z63" s="531"/>
    </row>
    <row r="64" spans="22:26" x14ac:dyDescent="0.25">
      <c r="V64" s="531"/>
      <c r="W64" s="531"/>
      <c r="X64" s="531"/>
      <c r="Y64" s="531"/>
      <c r="Z64" s="531"/>
    </row>
    <row r="65" spans="22:26" x14ac:dyDescent="0.25">
      <c r="V65" s="531"/>
      <c r="W65" s="531"/>
      <c r="X65" s="531"/>
      <c r="Y65" s="531"/>
      <c r="Z65" s="531"/>
    </row>
    <row r="66" spans="22:26" x14ac:dyDescent="0.25">
      <c r="V66" s="531"/>
      <c r="W66" s="531"/>
      <c r="X66" s="531"/>
      <c r="Y66" s="531"/>
      <c r="Z66" s="532"/>
    </row>
    <row r="67" spans="22:26" x14ac:dyDescent="0.25">
      <c r="Z67" s="99"/>
    </row>
  </sheetData>
  <mergeCells count="7">
    <mergeCell ref="V58:Y66"/>
    <mergeCell ref="Z50:Z66"/>
    <mergeCell ref="B2:C2"/>
    <mergeCell ref="F2:L2"/>
    <mergeCell ref="N2:P2"/>
    <mergeCell ref="Z32:Z38"/>
    <mergeCell ref="V50:Y50"/>
  </mergeCell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13"/>
  <sheetViews>
    <sheetView topLeftCell="B2" workbookViewId="0">
      <selection activeCell="R10" sqref="R10"/>
    </sheetView>
  </sheetViews>
  <sheetFormatPr defaultRowHeight="12.75" x14ac:dyDescent="0.25"/>
  <cols>
    <col min="5" max="5" width="11.85546875" bestFit="1" customWidth="1"/>
    <col min="7" max="15" width="6.42578125" bestFit="1" customWidth="1"/>
    <col min="16" max="16" width="7.42578125" bestFit="1" customWidth="1"/>
  </cols>
  <sheetData>
    <row r="2" spans="2:16" x14ac:dyDescent="0.25">
      <c r="B2" s="489" t="s">
        <v>267</v>
      </c>
      <c r="C2" s="489"/>
      <c r="D2" s="489"/>
      <c r="E2" s="489"/>
      <c r="G2" s="489" t="s">
        <v>286</v>
      </c>
      <c r="H2" s="489"/>
      <c r="I2" s="489"/>
      <c r="J2" s="489"/>
      <c r="K2" s="489"/>
      <c r="L2" s="489"/>
      <c r="M2" s="489"/>
      <c r="N2" s="489"/>
      <c r="O2" s="489"/>
      <c r="P2" s="489"/>
    </row>
    <row r="3" spans="2:16" ht="14.25" x14ac:dyDescent="0.3">
      <c r="B3" s="186" t="s">
        <v>268</v>
      </c>
      <c r="C3" s="186" t="s">
        <v>182</v>
      </c>
      <c r="D3" s="186" t="s">
        <v>275</v>
      </c>
      <c r="E3" s="186" t="s">
        <v>269</v>
      </c>
      <c r="G3" s="390" t="s">
        <v>276</v>
      </c>
      <c r="H3" s="186" t="s">
        <v>277</v>
      </c>
      <c r="I3" s="391" t="s">
        <v>278</v>
      </c>
      <c r="J3" s="186" t="s">
        <v>279</v>
      </c>
      <c r="K3" s="186" t="s">
        <v>280</v>
      </c>
      <c r="L3" s="186" t="s">
        <v>281</v>
      </c>
      <c r="M3" s="186" t="s">
        <v>282</v>
      </c>
      <c r="N3" s="186" t="s">
        <v>283</v>
      </c>
      <c r="O3" s="186" t="s">
        <v>284</v>
      </c>
      <c r="P3" s="186" t="s">
        <v>285</v>
      </c>
    </row>
    <row r="4" spans="2:16" x14ac:dyDescent="0.25">
      <c r="B4" s="51">
        <v>1</v>
      </c>
      <c r="C4" s="115" t="s">
        <v>183</v>
      </c>
      <c r="D4" s="400" t="s">
        <v>270</v>
      </c>
      <c r="E4" s="115" t="s">
        <v>273</v>
      </c>
      <c r="G4" s="403">
        <f>0</f>
        <v>0</v>
      </c>
      <c r="H4" s="115"/>
      <c r="I4" s="399"/>
      <c r="J4" s="115"/>
      <c r="K4" s="399"/>
      <c r="L4" s="115"/>
      <c r="M4" s="399"/>
      <c r="N4" s="115"/>
      <c r="O4" s="399"/>
      <c r="P4" s="115"/>
    </row>
    <row r="5" spans="2:16" x14ac:dyDescent="0.25">
      <c r="B5" s="53">
        <v>2</v>
      </c>
      <c r="C5" s="135" t="s">
        <v>184</v>
      </c>
      <c r="D5" s="401" t="s">
        <v>271</v>
      </c>
      <c r="E5" s="135" t="s">
        <v>274</v>
      </c>
      <c r="G5" s="404">
        <v>0</v>
      </c>
      <c r="H5" s="135">
        <v>0</v>
      </c>
      <c r="I5" s="74"/>
      <c r="J5" s="135"/>
      <c r="K5" s="74"/>
      <c r="L5" s="135"/>
      <c r="M5" s="74"/>
      <c r="N5" s="135"/>
      <c r="O5" s="74"/>
      <c r="P5" s="135"/>
    </row>
    <row r="6" spans="2:16" x14ac:dyDescent="0.25">
      <c r="B6" s="53">
        <v>3</v>
      </c>
      <c r="C6" s="135" t="s">
        <v>183</v>
      </c>
      <c r="D6" s="401" t="s">
        <v>272</v>
      </c>
      <c r="E6" s="135" t="s">
        <v>274</v>
      </c>
      <c r="G6" s="404">
        <v>0.33333333333333331</v>
      </c>
      <c r="H6" s="135">
        <v>0.33333333333333331</v>
      </c>
      <c r="I6" s="74">
        <v>0</v>
      </c>
      <c r="J6" s="135"/>
      <c r="K6" s="74"/>
      <c r="L6" s="135"/>
      <c r="M6" s="74"/>
      <c r="N6" s="135"/>
      <c r="O6" s="74"/>
      <c r="P6" s="135"/>
    </row>
    <row r="7" spans="2:16" x14ac:dyDescent="0.25">
      <c r="B7" s="53">
        <v>4</v>
      </c>
      <c r="C7" s="135" t="s">
        <v>183</v>
      </c>
      <c r="D7" s="401" t="s">
        <v>270</v>
      </c>
      <c r="E7" s="135" t="s">
        <v>274</v>
      </c>
      <c r="G7" s="405">
        <v>0.66666666666666663</v>
      </c>
      <c r="H7" s="135">
        <v>0.33333333333333331</v>
      </c>
      <c r="I7" s="74">
        <v>0.66666666666666663</v>
      </c>
      <c r="J7" s="135">
        <v>0</v>
      </c>
      <c r="K7" s="74"/>
      <c r="L7" s="135"/>
      <c r="M7" s="74"/>
      <c r="N7" s="135"/>
      <c r="O7" s="74"/>
      <c r="P7" s="135"/>
    </row>
    <row r="8" spans="2:16" x14ac:dyDescent="0.25">
      <c r="B8" s="53">
        <v>5</v>
      </c>
      <c r="C8" s="135" t="s">
        <v>184</v>
      </c>
      <c r="D8" s="401" t="s">
        <v>271</v>
      </c>
      <c r="E8" s="135" t="s">
        <v>273</v>
      </c>
      <c r="G8" s="404">
        <v>0.33333333333333331</v>
      </c>
      <c r="H8" s="135">
        <v>0.66666666666666663</v>
      </c>
      <c r="I8" s="74">
        <v>0</v>
      </c>
      <c r="J8" s="135">
        <v>0</v>
      </c>
      <c r="K8" s="74">
        <v>0</v>
      </c>
      <c r="L8" s="135"/>
      <c r="M8" s="74"/>
      <c r="N8" s="135"/>
      <c r="O8" s="74"/>
      <c r="P8" s="135"/>
    </row>
    <row r="9" spans="2:16" x14ac:dyDescent="0.25">
      <c r="B9" s="53">
        <v>6</v>
      </c>
      <c r="C9" s="135" t="s">
        <v>183</v>
      </c>
      <c r="D9" s="401" t="s">
        <v>270</v>
      </c>
      <c r="E9" s="135" t="s">
        <v>273</v>
      </c>
      <c r="G9" s="404">
        <v>1</v>
      </c>
      <c r="H9" s="135">
        <v>0</v>
      </c>
      <c r="I9" s="74">
        <v>0.33333333333333331</v>
      </c>
      <c r="J9" s="135">
        <v>0.66666666666666663</v>
      </c>
      <c r="K9" s="74">
        <v>0.33333333333333331</v>
      </c>
      <c r="L9" s="135">
        <v>0</v>
      </c>
      <c r="M9" s="74"/>
      <c r="N9" s="135"/>
      <c r="O9" s="74"/>
      <c r="P9" s="135"/>
    </row>
    <row r="10" spans="2:16" x14ac:dyDescent="0.25">
      <c r="B10" s="53">
        <v>7</v>
      </c>
      <c r="C10" s="135" t="s">
        <v>184</v>
      </c>
      <c r="D10" s="401" t="s">
        <v>272</v>
      </c>
      <c r="E10" s="135" t="s">
        <v>274</v>
      </c>
      <c r="G10" s="404">
        <v>0</v>
      </c>
      <c r="H10" s="135">
        <v>0.66666666666666663</v>
      </c>
      <c r="I10" s="74">
        <v>0.66666666666666663</v>
      </c>
      <c r="J10" s="135">
        <v>0.33333333333333331</v>
      </c>
      <c r="K10" s="74">
        <v>0.33333333333333331</v>
      </c>
      <c r="L10" s="135">
        <v>0</v>
      </c>
      <c r="M10" s="74">
        <v>0</v>
      </c>
      <c r="N10" s="135"/>
      <c r="O10" s="74"/>
      <c r="P10" s="135"/>
    </row>
    <row r="11" spans="2:16" x14ac:dyDescent="0.25">
      <c r="B11" s="53">
        <v>8</v>
      </c>
      <c r="C11" s="135" t="s">
        <v>183</v>
      </c>
      <c r="D11" s="401" t="s">
        <v>270</v>
      </c>
      <c r="E11" s="135" t="s">
        <v>273</v>
      </c>
      <c r="G11" s="404">
        <v>1</v>
      </c>
      <c r="H11" s="135">
        <v>0</v>
      </c>
      <c r="I11" s="74">
        <v>0.33333333333333331</v>
      </c>
      <c r="J11" s="135">
        <v>0.66666666666666663</v>
      </c>
      <c r="K11" s="74">
        <v>0.33333333333333331</v>
      </c>
      <c r="L11" s="135">
        <v>1</v>
      </c>
      <c r="M11" s="74">
        <v>0</v>
      </c>
      <c r="N11" s="135">
        <v>0</v>
      </c>
      <c r="O11" s="74"/>
      <c r="P11" s="135"/>
    </row>
    <row r="12" spans="2:16" x14ac:dyDescent="0.25">
      <c r="B12" s="53">
        <v>9</v>
      </c>
      <c r="C12" s="135" t="s">
        <v>184</v>
      </c>
      <c r="D12" s="401" t="s">
        <v>271</v>
      </c>
      <c r="E12" s="135" t="s">
        <v>274</v>
      </c>
      <c r="G12" s="404">
        <v>0</v>
      </c>
      <c r="H12" s="135">
        <v>1</v>
      </c>
      <c r="I12" s="74">
        <v>0.33333333333333331</v>
      </c>
      <c r="J12" s="135">
        <v>0.33333333333333331</v>
      </c>
      <c r="K12" s="74">
        <v>0.66666666666666663</v>
      </c>
      <c r="L12" s="135">
        <v>0</v>
      </c>
      <c r="M12" s="74">
        <v>0.66666666666666663</v>
      </c>
      <c r="N12" s="135">
        <v>0</v>
      </c>
      <c r="O12" s="74">
        <v>0</v>
      </c>
      <c r="P12" s="135"/>
    </row>
    <row r="13" spans="2:16" x14ac:dyDescent="0.25">
      <c r="B13" s="55">
        <v>10</v>
      </c>
      <c r="C13" s="185" t="s">
        <v>184</v>
      </c>
      <c r="D13" s="402" t="s">
        <v>272</v>
      </c>
      <c r="E13" s="185" t="s">
        <v>274</v>
      </c>
      <c r="G13" s="406">
        <v>0</v>
      </c>
      <c r="H13" s="185">
        <v>0.66666666666666663</v>
      </c>
      <c r="I13" s="398">
        <v>0.66666666666666663</v>
      </c>
      <c r="J13" s="185">
        <v>1</v>
      </c>
      <c r="K13" s="398">
        <v>0.33333333333333331</v>
      </c>
      <c r="L13" s="185">
        <v>0</v>
      </c>
      <c r="M13" s="398">
        <v>1</v>
      </c>
      <c r="N13" s="185">
        <v>0</v>
      </c>
      <c r="O13" s="398">
        <v>0.66666666666666663</v>
      </c>
      <c r="P13" s="185">
        <v>0</v>
      </c>
    </row>
  </sheetData>
  <mergeCells count="2">
    <mergeCell ref="B2:E2"/>
    <mergeCell ref="G2:P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Distributions</vt:lpstr>
      <vt:lpstr>Ranks ANOVA</vt:lpstr>
      <vt:lpstr>Storks</vt:lpstr>
      <vt:lpstr>chi-square</vt:lpstr>
      <vt:lpstr>Fisher</vt:lpstr>
      <vt:lpstr>3-way</vt:lpstr>
      <vt:lpstr>many samples</vt:lpstr>
      <vt:lpstr>Factors</vt:lpstr>
      <vt:lpstr>Cluster</vt:lpstr>
      <vt:lpstr>Series</vt:lpstr>
      <vt:lpstr>Decision</vt:lpstr>
      <vt:lpstr>Game</vt:lpstr>
      <vt:lpstr>Simulation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Dr. H</dc:creator>
  <cp:lastModifiedBy>Dr. H</cp:lastModifiedBy>
  <cp:lastPrinted>2016-11-23T17:18:32Z</cp:lastPrinted>
  <dcterms:created xsi:type="dcterms:W3CDTF">2016-11-01T14:56:30Z</dcterms:created>
  <dcterms:modified xsi:type="dcterms:W3CDTF">2017-04-28T17:42:10Z</dcterms:modified>
</cp:coreProperties>
</file>